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19440" windowHeight="15600" tabRatio="929" activeTab="1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 2022-2023" sheetId="34" r:id="rId10"/>
    <sheet name="Спецификация 2021" sheetId="45" r:id="rId11"/>
  </sheets>
  <externalReferences>
    <externalReference r:id="rId12"/>
  </externalReferences>
  <definedNames>
    <definedName name="_xlnm._FilterDatabase" localSheetId="5" hidden="1">'ТИП-ПРЕНОС'!$A$1:$F$66</definedName>
    <definedName name="а65536">НВ!$1:$1048576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10">'Спецификация 2021'!$A$1:$P$52</definedName>
    <definedName name="_xlnm.Print_Area" localSheetId="9">'Спецификация 2022-2023'!$A$1:$P$52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10">'Спецификация 2021'!$4:$5</definedName>
    <definedName name="_xlnm.Print_Titles" localSheetId="9">'Спецификация 2022-2023'!$4:$5</definedName>
    <definedName name="_xlnm.Print_Titles" localSheetId="4">'ТИП-ПРОИЗ'!$1:$7</definedName>
    <definedName name="ь65536">ВК§ППК!$105:$105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7" i="21" l="1"/>
  <c r="G21" i="35" l="1"/>
  <c r="D68" i="21"/>
  <c r="F11" i="29"/>
  <c r="D33" i="34"/>
  <c r="D33" i="45" l="1"/>
  <c r="H52" i="45"/>
  <c r="C52" i="45"/>
  <c r="G51" i="45"/>
  <c r="B51" i="45"/>
  <c r="D46" i="45"/>
  <c r="D45" i="45"/>
  <c r="D42" i="45"/>
  <c r="P41" i="45"/>
  <c r="P43" i="45" s="1"/>
  <c r="P44" i="45" s="1"/>
  <c r="O41" i="45"/>
  <c r="O43" i="45" s="1"/>
  <c r="O44" i="45" s="1"/>
  <c r="N41" i="45"/>
  <c r="N43" i="45" s="1"/>
  <c r="N44" i="45" s="1"/>
  <c r="M41" i="45"/>
  <c r="M43" i="45" s="1"/>
  <c r="M44" i="45" s="1"/>
  <c r="L41" i="45"/>
  <c r="L43" i="45" s="1"/>
  <c r="L44" i="45" s="1"/>
  <c r="K41" i="45"/>
  <c r="K43" i="45" s="1"/>
  <c r="K44" i="45" s="1"/>
  <c r="J41" i="45"/>
  <c r="J43" i="45" s="1"/>
  <c r="J44" i="45" s="1"/>
  <c r="I41" i="45"/>
  <c r="I43" i="45" s="1"/>
  <c r="I44" i="45" s="1"/>
  <c r="H41" i="45"/>
  <c r="H43" i="45" s="1"/>
  <c r="H44" i="45" s="1"/>
  <c r="G41" i="45"/>
  <c r="G43" i="45" s="1"/>
  <c r="G44" i="45" s="1"/>
  <c r="F41" i="45"/>
  <c r="F43" i="45" s="1"/>
  <c r="F44" i="45" s="1"/>
  <c r="E41" i="45"/>
  <c r="P40" i="45"/>
  <c r="O40" i="45"/>
  <c r="N40" i="45"/>
  <c r="M40" i="45"/>
  <c r="L40" i="45"/>
  <c r="K40" i="45"/>
  <c r="J40" i="45"/>
  <c r="I40" i="45"/>
  <c r="H40" i="45"/>
  <c r="G40" i="45"/>
  <c r="F40" i="45"/>
  <c r="E40" i="45"/>
  <c r="D39" i="45"/>
  <c r="D38" i="45"/>
  <c r="D37" i="45"/>
  <c r="D36" i="45"/>
  <c r="D34" i="45"/>
  <c r="D32" i="45"/>
  <c r="D31" i="45"/>
  <c r="D30" i="45"/>
  <c r="P28" i="45"/>
  <c r="P29" i="45" s="1"/>
  <c r="O28" i="45"/>
  <c r="O29" i="45" s="1"/>
  <c r="N28" i="45"/>
  <c r="N29" i="45" s="1"/>
  <c r="M28" i="45"/>
  <c r="M29" i="45" s="1"/>
  <c r="L28" i="45"/>
  <c r="L29" i="45" s="1"/>
  <c r="K28" i="45"/>
  <c r="K29" i="45" s="1"/>
  <c r="J28" i="45"/>
  <c r="J29" i="45" s="1"/>
  <c r="I28" i="45"/>
  <c r="I29" i="45" s="1"/>
  <c r="H28" i="45"/>
  <c r="H29" i="45" s="1"/>
  <c r="G28" i="45"/>
  <c r="G29" i="45" s="1"/>
  <c r="F28" i="45"/>
  <c r="F29" i="45" s="1"/>
  <c r="E28" i="45"/>
  <c r="D26" i="45"/>
  <c r="D25" i="45"/>
  <c r="P23" i="45"/>
  <c r="P24" i="45" s="1"/>
  <c r="O23" i="45"/>
  <c r="O24" i="45" s="1"/>
  <c r="N23" i="45"/>
  <c r="N24" i="45" s="1"/>
  <c r="M23" i="45"/>
  <c r="M24" i="45" s="1"/>
  <c r="L23" i="45"/>
  <c r="L24" i="45" s="1"/>
  <c r="K23" i="45"/>
  <c r="K24" i="45" s="1"/>
  <c r="J23" i="45"/>
  <c r="J24" i="45" s="1"/>
  <c r="I23" i="45"/>
  <c r="I24" i="45" s="1"/>
  <c r="H23" i="45"/>
  <c r="H24" i="45" s="1"/>
  <c r="G23" i="45"/>
  <c r="G24" i="45" s="1"/>
  <c r="F23" i="45"/>
  <c r="F24" i="45" s="1"/>
  <c r="E23" i="45"/>
  <c r="E24" i="45" s="1"/>
  <c r="P22" i="45"/>
  <c r="O22" i="45"/>
  <c r="N22" i="45"/>
  <c r="M22" i="45"/>
  <c r="L22" i="45"/>
  <c r="K22" i="45"/>
  <c r="J22" i="45"/>
  <c r="I22" i="45"/>
  <c r="H22" i="45"/>
  <c r="G22" i="45"/>
  <c r="F22" i="45"/>
  <c r="E22" i="45"/>
  <c r="D21" i="45"/>
  <c r="D20" i="45"/>
  <c r="P19" i="45"/>
  <c r="O19" i="45"/>
  <c r="N19" i="45"/>
  <c r="M19" i="45"/>
  <c r="L19" i="45"/>
  <c r="K19" i="45"/>
  <c r="J19" i="45"/>
  <c r="I19" i="45"/>
  <c r="H19" i="45"/>
  <c r="G19" i="45"/>
  <c r="F19" i="45"/>
  <c r="E19" i="45"/>
  <c r="D19" i="45"/>
  <c r="D17" i="45"/>
  <c r="D16" i="45"/>
  <c r="P15" i="45"/>
  <c r="O15" i="45"/>
  <c r="N15" i="45"/>
  <c r="M15" i="45"/>
  <c r="L15" i="45"/>
  <c r="K15" i="45"/>
  <c r="J15" i="45"/>
  <c r="I15" i="45"/>
  <c r="H15" i="45"/>
  <c r="G15" i="45"/>
  <c r="F15" i="45"/>
  <c r="E15" i="45"/>
  <c r="D14" i="45"/>
  <c r="D13" i="45"/>
  <c r="P12" i="45"/>
  <c r="O12" i="45"/>
  <c r="N12" i="45"/>
  <c r="M12" i="45"/>
  <c r="L12" i="45"/>
  <c r="K12" i="45"/>
  <c r="J12" i="45"/>
  <c r="I12" i="45"/>
  <c r="H12" i="45"/>
  <c r="G12" i="45"/>
  <c r="F12" i="45"/>
  <c r="E12" i="45"/>
  <c r="D12" i="45" s="1"/>
  <c r="D11" i="45"/>
  <c r="D10" i="45"/>
  <c r="P9" i="45"/>
  <c r="O9" i="45"/>
  <c r="N9" i="45"/>
  <c r="M9" i="45"/>
  <c r="L9" i="45"/>
  <c r="K9" i="45"/>
  <c r="J9" i="45"/>
  <c r="I9" i="45"/>
  <c r="H9" i="45"/>
  <c r="G9" i="45"/>
  <c r="F9" i="45"/>
  <c r="E9" i="45"/>
  <c r="A2" i="45"/>
  <c r="D23" i="45" l="1"/>
  <c r="D22" i="45" s="1"/>
  <c r="D40" i="45"/>
  <c r="D41" i="45"/>
  <c r="D28" i="45"/>
  <c r="D15" i="45"/>
  <c r="D9" i="45"/>
  <c r="D24" i="45"/>
  <c r="E29" i="45"/>
  <c r="D29" i="45" s="1"/>
  <c r="E43" i="45"/>
  <c r="E38" i="24"/>
  <c r="D85" i="21"/>
  <c r="G85" i="21"/>
  <c r="F38" i="24"/>
  <c r="H18" i="21"/>
  <c r="G18" i="21"/>
  <c r="H13" i="21"/>
  <c r="G13" i="21"/>
  <c r="E18" i="21"/>
  <c r="D18" i="21"/>
  <c r="F18" i="21" s="1"/>
  <c r="E13" i="21"/>
  <c r="D13" i="21"/>
  <c r="F39" i="29"/>
  <c r="F40" i="29" s="1"/>
  <c r="E39" i="29"/>
  <c r="E40" i="29" s="1"/>
  <c r="C52" i="34"/>
  <c r="H52" i="34"/>
  <c r="B128" i="24"/>
  <c r="F129" i="24"/>
  <c r="E129" i="24"/>
  <c r="E57" i="25"/>
  <c r="D57" i="25"/>
  <c r="F131" i="24"/>
  <c r="E131" i="24"/>
  <c r="E32" i="44"/>
  <c r="F32" i="44"/>
  <c r="G32" i="44"/>
  <c r="H32" i="44"/>
  <c r="I32" i="44"/>
  <c r="J32" i="44"/>
  <c r="K32" i="44"/>
  <c r="L32" i="44"/>
  <c r="D32" i="44"/>
  <c r="D31" i="44"/>
  <c r="D34" i="44"/>
  <c r="D35" i="44" s="1"/>
  <c r="D15" i="44"/>
  <c r="D16" i="44"/>
  <c r="F32" i="29"/>
  <c r="E32" i="29"/>
  <c r="F34" i="29"/>
  <c r="F46" i="42"/>
  <c r="G46" i="42"/>
  <c r="H46" i="42"/>
  <c r="E46" i="42"/>
  <c r="K34" i="42"/>
  <c r="J34" i="42"/>
  <c r="D37" i="34"/>
  <c r="D38" i="34"/>
  <c r="E40" i="34"/>
  <c r="F40" i="34"/>
  <c r="G40" i="34"/>
  <c r="H40" i="34"/>
  <c r="I40" i="34"/>
  <c r="J40" i="34"/>
  <c r="K40" i="34"/>
  <c r="L40" i="34"/>
  <c r="M40" i="34"/>
  <c r="N40" i="34"/>
  <c r="O40" i="34"/>
  <c r="P40" i="34"/>
  <c r="F35" i="42"/>
  <c r="G35" i="42"/>
  <c r="H35" i="42"/>
  <c r="E35" i="42"/>
  <c r="F34" i="42"/>
  <c r="G34" i="42"/>
  <c r="H34" i="42"/>
  <c r="E34" i="42"/>
  <c r="F47" i="42"/>
  <c r="G47" i="42"/>
  <c r="H47" i="42"/>
  <c r="E47" i="42"/>
  <c r="E23" i="42"/>
  <c r="F23" i="42"/>
  <c r="G23" i="42"/>
  <c r="H23" i="42"/>
  <c r="J23" i="42"/>
  <c r="K23" i="42"/>
  <c r="D45" i="42"/>
  <c r="D44" i="42"/>
  <c r="D43" i="42"/>
  <c r="D42" i="42"/>
  <c r="D41" i="42"/>
  <c r="D38" i="42"/>
  <c r="D37" i="42"/>
  <c r="D47" i="42"/>
  <c r="D33" i="42"/>
  <c r="D32" i="42"/>
  <c r="D31" i="42"/>
  <c r="D30" i="42"/>
  <c r="D29" i="42"/>
  <c r="D26" i="42"/>
  <c r="D25" i="42"/>
  <c r="D24" i="42"/>
  <c r="D22" i="42"/>
  <c r="D21" i="42"/>
  <c r="D20" i="42"/>
  <c r="D16" i="42"/>
  <c r="D17" i="42"/>
  <c r="D23" i="42" s="1"/>
  <c r="E68" i="42"/>
  <c r="F68" i="42"/>
  <c r="G68" i="42"/>
  <c r="H68" i="42"/>
  <c r="I68" i="42"/>
  <c r="J68" i="42"/>
  <c r="K68" i="42"/>
  <c r="D66" i="42"/>
  <c r="D65" i="42"/>
  <c r="D64" i="42"/>
  <c r="D63" i="42"/>
  <c r="D62" i="42"/>
  <c r="D67" i="42" s="1"/>
  <c r="H27" i="42"/>
  <c r="G27" i="42"/>
  <c r="F27" i="42"/>
  <c r="K27" i="42"/>
  <c r="H19" i="42"/>
  <c r="I25" i="42"/>
  <c r="I24" i="42"/>
  <c r="I22" i="42"/>
  <c r="I21" i="42"/>
  <c r="I20" i="42"/>
  <c r="I16" i="42"/>
  <c r="I17" i="42"/>
  <c r="G51" i="34"/>
  <c r="B51" i="34"/>
  <c r="H79" i="42"/>
  <c r="C79" i="42"/>
  <c r="G78" i="42"/>
  <c r="B78" i="42"/>
  <c r="C41" i="44"/>
  <c r="H41" i="44"/>
  <c r="F23" i="34"/>
  <c r="F24" i="34" s="1"/>
  <c r="G23" i="34"/>
  <c r="G22" i="34" s="1"/>
  <c r="H23" i="34"/>
  <c r="I23" i="34"/>
  <c r="I24" i="34" s="1"/>
  <c r="J23" i="34"/>
  <c r="J22" i="34"/>
  <c r="K23" i="34"/>
  <c r="L23" i="34"/>
  <c r="L22" i="34" s="1"/>
  <c r="M23" i="34"/>
  <c r="M24" i="34" s="1"/>
  <c r="N23" i="34"/>
  <c r="N22" i="34" s="1"/>
  <c r="O23" i="34"/>
  <c r="O22" i="34" s="1"/>
  <c r="P23" i="34"/>
  <c r="P22" i="34" s="1"/>
  <c r="E23" i="34"/>
  <c r="L24" i="34"/>
  <c r="D26" i="34"/>
  <c r="D25" i="34"/>
  <c r="F28" i="34"/>
  <c r="F29" i="34" s="1"/>
  <c r="G28" i="34"/>
  <c r="G29" i="34" s="1"/>
  <c r="H28" i="34"/>
  <c r="H29" i="34" s="1"/>
  <c r="I28" i="34"/>
  <c r="I29" i="34" s="1"/>
  <c r="J28" i="34"/>
  <c r="J29" i="34" s="1"/>
  <c r="K28" i="34"/>
  <c r="K29" i="34" s="1"/>
  <c r="L28" i="34"/>
  <c r="L29" i="34" s="1"/>
  <c r="M28" i="34"/>
  <c r="M29" i="34" s="1"/>
  <c r="N28" i="34"/>
  <c r="N29" i="34" s="1"/>
  <c r="O28" i="34"/>
  <c r="O29" i="34" s="1"/>
  <c r="P28" i="34"/>
  <c r="P29" i="34" s="1"/>
  <c r="E28" i="34"/>
  <c r="E29" i="34" s="1"/>
  <c r="A2" i="34"/>
  <c r="B2" i="44"/>
  <c r="B2" i="42"/>
  <c r="D58" i="42"/>
  <c r="D59" i="42"/>
  <c r="D68" i="42" s="1"/>
  <c r="D54" i="42"/>
  <c r="K57" i="42"/>
  <c r="J57" i="42"/>
  <c r="I57" i="42"/>
  <c r="H57" i="42"/>
  <c r="G57" i="42"/>
  <c r="F57" i="42"/>
  <c r="D57" i="42" s="1"/>
  <c r="E57" i="42"/>
  <c r="D23" i="44"/>
  <c r="A20" i="44"/>
  <c r="D25" i="44"/>
  <c r="D26" i="44"/>
  <c r="D22" i="44"/>
  <c r="A6" i="44"/>
  <c r="G40" i="44"/>
  <c r="B40" i="44"/>
  <c r="D9" i="44"/>
  <c r="D10" i="44"/>
  <c r="D8" i="44"/>
  <c r="P19" i="34"/>
  <c r="O19" i="34"/>
  <c r="N19" i="34"/>
  <c r="M19" i="34"/>
  <c r="L19" i="34"/>
  <c r="K19" i="34"/>
  <c r="J19" i="34"/>
  <c r="I19" i="34"/>
  <c r="H19" i="34"/>
  <c r="G19" i="34"/>
  <c r="F19" i="34"/>
  <c r="E19" i="34"/>
  <c r="E33" i="25"/>
  <c r="E32" i="25" s="1"/>
  <c r="E37" i="25"/>
  <c r="E35" i="25"/>
  <c r="D37" i="25"/>
  <c r="D35" i="25"/>
  <c r="D66" i="36"/>
  <c r="F66" i="36"/>
  <c r="D65" i="36"/>
  <c r="F65" i="36"/>
  <c r="H72" i="36"/>
  <c r="E28" i="36"/>
  <c r="E46" i="36" s="1"/>
  <c r="B56" i="24"/>
  <c r="B55" i="24"/>
  <c r="B39" i="24"/>
  <c r="B38" i="24"/>
  <c r="F56" i="24"/>
  <c r="E56" i="24"/>
  <c r="D84" i="21" s="1"/>
  <c r="H62" i="21"/>
  <c r="H61" i="21"/>
  <c r="E18" i="25" s="1"/>
  <c r="E62" i="21"/>
  <c r="E61" i="21" s="1"/>
  <c r="G65" i="21"/>
  <c r="I65" i="21"/>
  <c r="G66" i="21"/>
  <c r="I66" i="21"/>
  <c r="I67" i="21"/>
  <c r="G68" i="21"/>
  <c r="I68" i="21" s="1"/>
  <c r="G64" i="21"/>
  <c r="D65" i="21"/>
  <c r="F65" i="21" s="1"/>
  <c r="D66" i="21"/>
  <c r="F66" i="21" s="1"/>
  <c r="D67" i="21"/>
  <c r="F67" i="21" s="1"/>
  <c r="F68" i="21"/>
  <c r="D64" i="21"/>
  <c r="F64" i="21" s="1"/>
  <c r="G74" i="21"/>
  <c r="I74" i="21" s="1"/>
  <c r="F11" i="24"/>
  <c r="E11" i="24"/>
  <c r="F55" i="24"/>
  <c r="E55" i="24"/>
  <c r="D81" i="21" s="1"/>
  <c r="F81" i="21" s="1"/>
  <c r="G71" i="21"/>
  <c r="I71" i="21" s="1"/>
  <c r="G72" i="21"/>
  <c r="I72" i="21" s="1"/>
  <c r="G73" i="21"/>
  <c r="I73" i="21" s="1"/>
  <c r="B74" i="21"/>
  <c r="G70" i="21"/>
  <c r="I70" i="21" s="1"/>
  <c r="D71" i="21"/>
  <c r="F71" i="21" s="1"/>
  <c r="D72" i="21"/>
  <c r="F72" i="21" s="1"/>
  <c r="D73" i="21"/>
  <c r="F73" i="21" s="1"/>
  <c r="D74" i="21"/>
  <c r="F74" i="21" s="1"/>
  <c r="D70" i="21"/>
  <c r="F70" i="21" s="1"/>
  <c r="F32" i="24"/>
  <c r="F31" i="24" s="1"/>
  <c r="E32" i="24"/>
  <c r="E31" i="24" s="1"/>
  <c r="F49" i="24"/>
  <c r="F94" i="24" s="1"/>
  <c r="E49" i="24"/>
  <c r="E48" i="24" s="1"/>
  <c r="D33" i="25"/>
  <c r="E10" i="24" s="1"/>
  <c r="F29" i="24"/>
  <c r="E29" i="24"/>
  <c r="F70" i="24"/>
  <c r="F71" i="24"/>
  <c r="F72" i="24"/>
  <c r="F73" i="24"/>
  <c r="F74" i="24"/>
  <c r="E71" i="24"/>
  <c r="E72" i="24"/>
  <c r="E73" i="24"/>
  <c r="E74" i="24"/>
  <c r="E70" i="24"/>
  <c r="F64" i="24"/>
  <c r="E64" i="24"/>
  <c r="E60" i="24" s="1"/>
  <c r="E61" i="24" s="1"/>
  <c r="E14" i="24"/>
  <c r="F14" i="24"/>
  <c r="E6" i="24"/>
  <c r="E7" i="29" s="1"/>
  <c r="F6" i="24"/>
  <c r="A4" i="45" s="1"/>
  <c r="N4" i="45" s="1"/>
  <c r="F24" i="24"/>
  <c r="E24" i="24"/>
  <c r="K19" i="42"/>
  <c r="J19" i="42"/>
  <c r="J27" i="42"/>
  <c r="F19" i="42"/>
  <c r="G19" i="42"/>
  <c r="D19" i="42" s="1"/>
  <c r="E19" i="42"/>
  <c r="E27" i="42"/>
  <c r="D7" i="42"/>
  <c r="D9" i="42" s="1"/>
  <c r="D6" i="42"/>
  <c r="K10" i="42"/>
  <c r="J35" i="42"/>
  <c r="K35" i="42"/>
  <c r="E10" i="42"/>
  <c r="F10" i="42"/>
  <c r="G10" i="42"/>
  <c r="H10" i="42"/>
  <c r="I10" i="42"/>
  <c r="J10" i="42"/>
  <c r="E9" i="34"/>
  <c r="F9" i="34"/>
  <c r="G9" i="34"/>
  <c r="H9" i="34"/>
  <c r="I9" i="34"/>
  <c r="J9" i="34"/>
  <c r="K9" i="34"/>
  <c r="L9" i="34"/>
  <c r="M9" i="34"/>
  <c r="N9" i="34"/>
  <c r="O9" i="34"/>
  <c r="P9" i="34"/>
  <c r="D10" i="34"/>
  <c r="D11" i="34"/>
  <c r="E12" i="34"/>
  <c r="F12" i="34"/>
  <c r="G12" i="34"/>
  <c r="H12" i="34"/>
  <c r="I12" i="34"/>
  <c r="J12" i="34"/>
  <c r="K12" i="34"/>
  <c r="L12" i="34"/>
  <c r="M12" i="34"/>
  <c r="N12" i="34"/>
  <c r="O12" i="34"/>
  <c r="P12" i="34"/>
  <c r="D13" i="34"/>
  <c r="D14" i="34"/>
  <c r="E15" i="34"/>
  <c r="F15" i="34"/>
  <c r="G15" i="34"/>
  <c r="H15" i="34"/>
  <c r="I15" i="34"/>
  <c r="J15" i="34"/>
  <c r="K15" i="34"/>
  <c r="L15" i="34"/>
  <c r="M15" i="34"/>
  <c r="N15" i="34"/>
  <c r="O15" i="34"/>
  <c r="P15" i="34"/>
  <c r="D16" i="34"/>
  <c r="D17" i="34"/>
  <c r="D20" i="34"/>
  <c r="D21" i="34"/>
  <c r="D36" i="34"/>
  <c r="D31" i="34"/>
  <c r="D32" i="34"/>
  <c r="D34" i="34"/>
  <c r="D39" i="34"/>
  <c r="E41" i="34"/>
  <c r="E43" i="34"/>
  <c r="F41" i="34"/>
  <c r="F43" i="34"/>
  <c r="F44" i="34" s="1"/>
  <c r="G41" i="34"/>
  <c r="G43" i="34" s="1"/>
  <c r="H41" i="34"/>
  <c r="H43" i="34" s="1"/>
  <c r="H44" i="34" s="1"/>
  <c r="I41" i="34"/>
  <c r="I43" i="34" s="1"/>
  <c r="I44" i="34" s="1"/>
  <c r="J41" i="34"/>
  <c r="J43" i="34"/>
  <c r="J44" i="34" s="1"/>
  <c r="K41" i="34"/>
  <c r="K43" i="34"/>
  <c r="K44" i="34"/>
  <c r="L41" i="34"/>
  <c r="L43" i="34"/>
  <c r="L44" i="34"/>
  <c r="M41" i="34"/>
  <c r="M43" i="34" s="1"/>
  <c r="M44" i="34" s="1"/>
  <c r="N41" i="34"/>
  <c r="N43" i="34" s="1"/>
  <c r="N44" i="34" s="1"/>
  <c r="O41" i="34"/>
  <c r="O43" i="34" s="1"/>
  <c r="O44" i="34" s="1"/>
  <c r="P41" i="34"/>
  <c r="D42" i="34"/>
  <c r="D45" i="34"/>
  <c r="D46" i="34"/>
  <c r="B4" i="29"/>
  <c r="E11" i="29"/>
  <c r="E14" i="29" s="1"/>
  <c r="E15" i="29" s="1"/>
  <c r="F14" i="29"/>
  <c r="E34" i="29"/>
  <c r="A52" i="29"/>
  <c r="D52" i="29"/>
  <c r="B53" i="29"/>
  <c r="E53" i="29"/>
  <c r="B3" i="25"/>
  <c r="D7" i="25"/>
  <c r="D12" i="25" s="1"/>
  <c r="E7" i="25"/>
  <c r="E12" i="25"/>
  <c r="F9" i="24"/>
  <c r="D51" i="25"/>
  <c r="E51" i="25"/>
  <c r="D54" i="25"/>
  <c r="D50" i="25" s="1"/>
  <c r="E54" i="25"/>
  <c r="A66" i="25"/>
  <c r="B67" i="25"/>
  <c r="D67" i="25"/>
  <c r="B84" i="24"/>
  <c r="B90" i="24"/>
  <c r="E96" i="24"/>
  <c r="F96" i="24"/>
  <c r="E102" i="24"/>
  <c r="F102" i="24"/>
  <c r="A138" i="24"/>
  <c r="C138" i="24"/>
  <c r="B139" i="24"/>
  <c r="D139" i="24"/>
  <c r="B5" i="35"/>
  <c r="F15" i="35"/>
  <c r="F13" i="35"/>
  <c r="G15" i="35"/>
  <c r="G18" i="35" s="1"/>
  <c r="C29" i="35"/>
  <c r="E29" i="35"/>
  <c r="F29" i="35"/>
  <c r="G30" i="35"/>
  <c r="G31" i="35"/>
  <c r="G32" i="35"/>
  <c r="G33" i="35"/>
  <c r="C34" i="35"/>
  <c r="C28" i="35"/>
  <c r="F34" i="35"/>
  <c r="F28" i="35" s="1"/>
  <c r="G35" i="35"/>
  <c r="G36" i="35"/>
  <c r="G37" i="35"/>
  <c r="G38" i="35"/>
  <c r="G39" i="35"/>
  <c r="G40" i="35"/>
  <c r="G41" i="35"/>
  <c r="G42" i="35"/>
  <c r="G43" i="35"/>
  <c r="A52" i="35"/>
  <c r="E52" i="35"/>
  <c r="B54" i="35"/>
  <c r="F54" i="35"/>
  <c r="B2" i="36"/>
  <c r="D7" i="36"/>
  <c r="D64" i="36" s="1"/>
  <c r="F64" i="36" s="1"/>
  <c r="E7" i="36"/>
  <c r="E6" i="36" s="1"/>
  <c r="D67" i="36" s="1"/>
  <c r="G7" i="36"/>
  <c r="G6" i="36" s="1"/>
  <c r="H7" i="36"/>
  <c r="H6" i="36" s="1"/>
  <c r="H25" i="36"/>
  <c r="H24" i="36"/>
  <c r="H73" i="36" s="1"/>
  <c r="D26" i="36"/>
  <c r="E26" i="36"/>
  <c r="E44" i="36" s="1"/>
  <c r="D27" i="36"/>
  <c r="D45" i="36" s="1"/>
  <c r="E27" i="36"/>
  <c r="G25" i="36"/>
  <c r="H70" i="36"/>
  <c r="I70" i="36" s="1"/>
  <c r="D29" i="36"/>
  <c r="D47" i="36" s="1"/>
  <c r="E29" i="36"/>
  <c r="E47" i="36" s="1"/>
  <c r="D30" i="36"/>
  <c r="E30" i="36"/>
  <c r="E48" i="36"/>
  <c r="D31" i="36"/>
  <c r="D49" i="36" s="1"/>
  <c r="E31" i="36"/>
  <c r="E49" i="36" s="1"/>
  <c r="D32" i="36"/>
  <c r="G65" i="36"/>
  <c r="I65" i="36"/>
  <c r="E32" i="36"/>
  <c r="D33" i="36"/>
  <c r="E33" i="36"/>
  <c r="E51" i="36"/>
  <c r="D34" i="36"/>
  <c r="G68" i="36" s="1"/>
  <c r="I68" i="36" s="1"/>
  <c r="G43" i="36"/>
  <c r="G42" i="36" s="1"/>
  <c r="H43" i="36"/>
  <c r="H42" i="36" s="1"/>
  <c r="G53" i="36" s="1"/>
  <c r="D44" i="36"/>
  <c r="E45" i="36"/>
  <c r="D48" i="36"/>
  <c r="E50" i="36"/>
  <c r="D68" i="36"/>
  <c r="F68" i="36" s="1"/>
  <c r="F70" i="36"/>
  <c r="F71" i="36"/>
  <c r="H71" i="36"/>
  <c r="F72" i="36"/>
  <c r="I72" i="36"/>
  <c r="F73" i="36"/>
  <c r="F74" i="36"/>
  <c r="H74" i="36"/>
  <c r="I74" i="36" s="1"/>
  <c r="D75" i="36"/>
  <c r="E75" i="36"/>
  <c r="E76" i="36"/>
  <c r="B3" i="21"/>
  <c r="F14" i="21"/>
  <c r="I14" i="21"/>
  <c r="F15" i="21"/>
  <c r="I15" i="21"/>
  <c r="F17" i="21"/>
  <c r="I17" i="21"/>
  <c r="F19" i="21"/>
  <c r="I19" i="21"/>
  <c r="F20" i="21"/>
  <c r="I20" i="21"/>
  <c r="F22" i="21"/>
  <c r="I22" i="21"/>
  <c r="F23" i="21"/>
  <c r="I23" i="21"/>
  <c r="D24" i="21"/>
  <c r="E24" i="21"/>
  <c r="G24" i="21"/>
  <c r="I24" i="21" s="1"/>
  <c r="H24" i="21"/>
  <c r="F25" i="21"/>
  <c r="I25" i="21"/>
  <c r="F26" i="21"/>
  <c r="I26" i="21"/>
  <c r="D27" i="21"/>
  <c r="F27" i="21" s="1"/>
  <c r="E27" i="21"/>
  <c r="E11" i="21" s="1"/>
  <c r="G27" i="21"/>
  <c r="H27" i="21"/>
  <c r="F28" i="21"/>
  <c r="I28" i="21"/>
  <c r="F29" i="21"/>
  <c r="I29" i="21"/>
  <c r="F30" i="21"/>
  <c r="I30" i="21"/>
  <c r="F31" i="21"/>
  <c r="I31" i="21"/>
  <c r="F32" i="21"/>
  <c r="I32" i="21"/>
  <c r="F33" i="21"/>
  <c r="I33" i="21"/>
  <c r="F34" i="21"/>
  <c r="I34" i="21"/>
  <c r="F35" i="21"/>
  <c r="I35" i="21"/>
  <c r="F36" i="21"/>
  <c r="I36" i="21"/>
  <c r="F37" i="21"/>
  <c r="I37" i="21"/>
  <c r="F38" i="21"/>
  <c r="I38" i="21"/>
  <c r="F39" i="21"/>
  <c r="I39" i="21"/>
  <c r="F40" i="21"/>
  <c r="I40" i="21"/>
  <c r="F41" i="21"/>
  <c r="I41" i="21"/>
  <c r="F42" i="21"/>
  <c r="I42" i="21"/>
  <c r="F43" i="21"/>
  <c r="I43" i="21"/>
  <c r="F44" i="21"/>
  <c r="I44" i="21"/>
  <c r="F45" i="21"/>
  <c r="I45" i="21"/>
  <c r="F46" i="21"/>
  <c r="I46" i="21"/>
  <c r="F47" i="21"/>
  <c r="I47" i="21"/>
  <c r="F48" i="21"/>
  <c r="I48" i="21"/>
  <c r="F49" i="21"/>
  <c r="I49" i="21"/>
  <c r="F50" i="21"/>
  <c r="I50" i="21"/>
  <c r="F51" i="21"/>
  <c r="I51" i="21"/>
  <c r="F58" i="21"/>
  <c r="I58" i="21"/>
  <c r="F59" i="21"/>
  <c r="I59" i="21"/>
  <c r="F60" i="21"/>
  <c r="I60" i="21"/>
  <c r="B68" i="21"/>
  <c r="F75" i="21"/>
  <c r="I75" i="21"/>
  <c r="F76" i="21"/>
  <c r="I76" i="21"/>
  <c r="F77" i="21"/>
  <c r="I77" i="21"/>
  <c r="F78" i="21"/>
  <c r="I78" i="21"/>
  <c r="F85" i="21"/>
  <c r="I85" i="21"/>
  <c r="F27" i="35"/>
  <c r="E50" i="25"/>
  <c r="D61" i="36"/>
  <c r="P43" i="34"/>
  <c r="P44" i="34" s="1"/>
  <c r="D30" i="34"/>
  <c r="E22" i="34"/>
  <c r="D34" i="42"/>
  <c r="D39" i="42"/>
  <c r="E34" i="35"/>
  <c r="G24" i="36"/>
  <c r="G35" i="36"/>
  <c r="D28" i="36"/>
  <c r="D46" i="36" s="1"/>
  <c r="I27" i="42"/>
  <c r="I14" i="42"/>
  <c r="M22" i="34"/>
  <c r="I22" i="34"/>
  <c r="D14" i="42"/>
  <c r="E24" i="34"/>
  <c r="F10" i="24"/>
  <c r="F22" i="24" s="1"/>
  <c r="D11" i="21"/>
  <c r="F11" i="21" s="1"/>
  <c r="G61" i="36"/>
  <c r="G27" i="35"/>
  <c r="I71" i="36"/>
  <c r="K22" i="34"/>
  <c r="K24" i="34"/>
  <c r="H22" i="34"/>
  <c r="H24" i="34"/>
  <c r="G75" i="36"/>
  <c r="P24" i="34"/>
  <c r="F18" i="35"/>
  <c r="G66" i="36"/>
  <c r="I66" i="36"/>
  <c r="D51" i="36"/>
  <c r="D8" i="42"/>
  <c r="D10" i="42" s="1"/>
  <c r="D4" i="42"/>
  <c r="F24" i="21"/>
  <c r="G24" i="34"/>
  <c r="I13" i="21"/>
  <c r="F13" i="21"/>
  <c r="I34" i="42"/>
  <c r="D46" i="42"/>
  <c r="D27" i="42"/>
  <c r="D37" i="44"/>
  <c r="D19" i="34"/>
  <c r="J24" i="34"/>
  <c r="D12" i="34"/>
  <c r="E44" i="34"/>
  <c r="D23" i="34"/>
  <c r="D22" i="34" s="1"/>
  <c r="N24" i="34"/>
  <c r="G63" i="21"/>
  <c r="I63" i="21" s="1"/>
  <c r="E11" i="25"/>
  <c r="I64" i="21"/>
  <c r="F60" i="24"/>
  <c r="F61" i="24" s="1"/>
  <c r="D63" i="21"/>
  <c r="F63" i="21" s="1"/>
  <c r="F39" i="24"/>
  <c r="E57" i="24"/>
  <c r="F37" i="44" s="1"/>
  <c r="E37" i="44" s="1"/>
  <c r="E23" i="29"/>
  <c r="E39" i="24"/>
  <c r="F82" i="21" s="1"/>
  <c r="F84" i="21"/>
  <c r="E23" i="25"/>
  <c r="E24" i="25" s="1"/>
  <c r="E21" i="25"/>
  <c r="E22" i="25"/>
  <c r="D23" i="25"/>
  <c r="D24" i="25" s="1"/>
  <c r="D22" i="25"/>
  <c r="D21" i="25"/>
  <c r="D35" i="42"/>
  <c r="I23" i="42"/>
  <c r="I35" i="42"/>
  <c r="D17" i="25"/>
  <c r="E12" i="21"/>
  <c r="F8" i="24"/>
  <c r="F124" i="24"/>
  <c r="E20" i="25" s="1"/>
  <c r="F21" i="24"/>
  <c r="F18" i="24" s="1"/>
  <c r="G84" i="21"/>
  <c r="I84" i="21"/>
  <c r="D50" i="36"/>
  <c r="D6" i="36"/>
  <c r="G13" i="35"/>
  <c r="O24" i="34"/>
  <c r="F22" i="34"/>
  <c r="F46" i="24"/>
  <c r="F27" i="29"/>
  <c r="E6" i="25"/>
  <c r="E49" i="25"/>
  <c r="D5" i="21"/>
  <c r="A12" i="44"/>
  <c r="A28" i="44" s="1"/>
  <c r="D6" i="25"/>
  <c r="D49" i="25" s="1"/>
  <c r="B8" i="44"/>
  <c r="B22" i="44"/>
  <c r="D28" i="25"/>
  <c r="A4" i="34"/>
  <c r="E4" i="34"/>
  <c r="G5" i="21"/>
  <c r="I4" i="34"/>
  <c r="J4" i="34"/>
  <c r="K4" i="34"/>
  <c r="N4" i="34"/>
  <c r="M4" i="34"/>
  <c r="L4" i="34"/>
  <c r="P4" i="34"/>
  <c r="O4" i="34"/>
  <c r="H4" i="34"/>
  <c r="E28" i="25"/>
  <c r="G4" i="34"/>
  <c r="F4" i="34"/>
  <c r="F15" i="29" l="1"/>
  <c r="F57" i="24"/>
  <c r="F21" i="29"/>
  <c r="F48" i="24"/>
  <c r="F23" i="29"/>
  <c r="D52" i="36"/>
  <c r="G69" i="21"/>
  <c r="E28" i="35"/>
  <c r="D18" i="25"/>
  <c r="E10" i="21"/>
  <c r="E9" i="24"/>
  <c r="D11" i="25"/>
  <c r="D16" i="25"/>
  <c r="I73" i="36"/>
  <c r="H75" i="36"/>
  <c r="D24" i="34"/>
  <c r="J4" i="45"/>
  <c r="E4" i="45"/>
  <c r="L4" i="45"/>
  <c r="G4" i="45"/>
  <c r="F4" i="45"/>
  <c r="H4" i="45"/>
  <c r="I19" i="42"/>
  <c r="F7" i="29"/>
  <c r="G11" i="21"/>
  <c r="G12" i="21" s="1"/>
  <c r="M4" i="45"/>
  <c r="O4" i="45"/>
  <c r="F21" i="35"/>
  <c r="I4" i="45"/>
  <c r="P4" i="45"/>
  <c r="K4" i="45"/>
  <c r="I18" i="21"/>
  <c r="D43" i="36"/>
  <c r="E25" i="36"/>
  <c r="E24" i="36" s="1"/>
  <c r="G67" i="36" s="1"/>
  <c r="I67" i="36" s="1"/>
  <c r="D25" i="36"/>
  <c r="G64" i="36" s="1"/>
  <c r="G17" i="36"/>
  <c r="D42" i="36"/>
  <c r="D12" i="21"/>
  <c r="F12" i="21" s="1"/>
  <c r="F75" i="36"/>
  <c r="F67" i="36"/>
  <c r="D69" i="36"/>
  <c r="D17" i="36"/>
  <c r="D69" i="21"/>
  <c r="E9" i="21"/>
  <c r="F93" i="24"/>
  <c r="E94" i="24"/>
  <c r="I80" i="21"/>
  <c r="G81" i="21"/>
  <c r="I81" i="21" s="1"/>
  <c r="E21" i="29"/>
  <c r="E69" i="24"/>
  <c r="E85" i="24" s="1"/>
  <c r="I82" i="21"/>
  <c r="I83" i="21"/>
  <c r="F80" i="21"/>
  <c r="E93" i="24"/>
  <c r="F63" i="24"/>
  <c r="E63" i="24"/>
  <c r="E19" i="25"/>
  <c r="E13" i="25"/>
  <c r="F20" i="24"/>
  <c r="F19" i="24"/>
  <c r="F47" i="24"/>
  <c r="F45" i="24" s="1"/>
  <c r="E22" i="24"/>
  <c r="E8" i="24"/>
  <c r="D32" i="25"/>
  <c r="D40" i="34"/>
  <c r="D43" i="34"/>
  <c r="G44" i="34"/>
  <c r="D44" i="34" s="1"/>
  <c r="D41" i="34"/>
  <c r="D29" i="34"/>
  <c r="D28" i="34"/>
  <c r="D15" i="34"/>
  <c r="D9" i="34"/>
  <c r="E44" i="45"/>
  <c r="D44" i="45" s="1"/>
  <c r="D43" i="45"/>
  <c r="H11" i="21"/>
  <c r="I27" i="21"/>
  <c r="E43" i="36"/>
  <c r="E42" i="36" s="1"/>
  <c r="G34" i="35"/>
  <c r="G29" i="35"/>
  <c r="F69" i="24"/>
  <c r="F24" i="29" s="1"/>
  <c r="F42" i="24" s="1"/>
  <c r="I69" i="21" l="1"/>
  <c r="G62" i="21"/>
  <c r="I62" i="21" s="1"/>
  <c r="G28" i="35"/>
  <c r="I75" i="36"/>
  <c r="H76" i="36"/>
  <c r="H9" i="21" s="1"/>
  <c r="E15" i="25" s="1"/>
  <c r="E124" i="24"/>
  <c r="D20" i="25" s="1"/>
  <c r="E21" i="24"/>
  <c r="F58" i="24"/>
  <c r="F20" i="29"/>
  <c r="F108" i="24"/>
  <c r="F115" i="24" s="1"/>
  <c r="D24" i="36"/>
  <c r="D35" i="36" s="1"/>
  <c r="A20" i="36" s="1"/>
  <c r="D53" i="36"/>
  <c r="G69" i="36"/>
  <c r="I64" i="36"/>
  <c r="F69" i="36"/>
  <c r="D76" i="36"/>
  <c r="E106" i="24"/>
  <c r="F69" i="21"/>
  <c r="D62" i="21"/>
  <c r="F62" i="21" s="1"/>
  <c r="D15" i="25"/>
  <c r="D14" i="25" s="1"/>
  <c r="E8" i="21"/>
  <c r="E24" i="29"/>
  <c r="F25" i="29"/>
  <c r="F91" i="24"/>
  <c r="F43" i="24"/>
  <c r="E68" i="24"/>
  <c r="F79" i="21"/>
  <c r="F17" i="24"/>
  <c r="E27" i="29"/>
  <c r="E108" i="24" s="1"/>
  <c r="E115" i="24" s="1"/>
  <c r="E47" i="24"/>
  <c r="E20" i="24"/>
  <c r="E19" i="24"/>
  <c r="F68" i="24"/>
  <c r="F85" i="24"/>
  <c r="I11" i="21"/>
  <c r="H12" i="21"/>
  <c r="I12" i="21" s="1"/>
  <c r="H10" i="21"/>
  <c r="E17" i="25"/>
  <c r="E16" i="25" s="1"/>
  <c r="E14" i="25" s="1"/>
  <c r="E18" i="24" l="1"/>
  <c r="E46" i="24"/>
  <c r="D13" i="25"/>
  <c r="D19" i="25"/>
  <c r="F19" i="29"/>
  <c r="F41" i="24" s="1"/>
  <c r="F40" i="24"/>
  <c r="E45" i="24"/>
  <c r="D61" i="21"/>
  <c r="D10" i="21" s="1"/>
  <c r="A38" i="36"/>
  <c r="I69" i="36"/>
  <c r="A59" i="36" s="1"/>
  <c r="G76" i="36"/>
  <c r="F106" i="24"/>
  <c r="F76" i="36"/>
  <c r="D9" i="21"/>
  <c r="F9" i="21" s="1"/>
  <c r="I79" i="21"/>
  <c r="G61" i="21"/>
  <c r="E43" i="24"/>
  <c r="E42" i="24"/>
  <c r="F26" i="29"/>
  <c r="F92" i="24"/>
  <c r="E17" i="24"/>
  <c r="H8" i="21"/>
  <c r="E109" i="24"/>
  <c r="F109" i="24"/>
  <c r="E58" i="24" l="1"/>
  <c r="E20" i="29"/>
  <c r="F61" i="21"/>
  <c r="I76" i="36"/>
  <c r="G9" i="21"/>
  <c r="I9" i="21" s="1"/>
  <c r="E113" i="24"/>
  <c r="I61" i="21"/>
  <c r="G10" i="21"/>
  <c r="E25" i="29"/>
  <c r="E26" i="29" s="1"/>
  <c r="E91" i="24"/>
  <c r="E92" i="24"/>
  <c r="F10" i="21"/>
  <c r="D8" i="21"/>
  <c r="F107" i="24"/>
  <c r="F116" i="24"/>
  <c r="E116" i="24"/>
  <c r="E107" i="24"/>
  <c r="E19" i="29" l="1"/>
  <c r="E41" i="24" s="1"/>
  <c r="E40" i="24"/>
  <c r="F113" i="24"/>
  <c r="G8" i="21"/>
  <c r="I10" i="21"/>
  <c r="F8" i="21"/>
  <c r="E114" i="24"/>
  <c r="E105" i="24"/>
  <c r="F105" i="24"/>
  <c r="F114" i="24"/>
  <c r="I8" i="21" l="1"/>
  <c r="F112" i="24"/>
  <c r="F111" i="24" s="1"/>
  <c r="F110" i="24"/>
  <c r="E112" i="24"/>
  <c r="E111" i="24" s="1"/>
  <c r="E110" i="24"/>
  <c r="F118" i="24" l="1"/>
  <c r="F120" i="24"/>
  <c r="E120" i="24"/>
  <c r="E118" i="24"/>
  <c r="E119" i="24" s="1"/>
  <c r="F119" i="24" l="1"/>
  <c r="F121" i="24" s="1"/>
  <c r="F122" i="24" s="1"/>
  <c r="F125" i="24" s="1"/>
  <c r="E41" i="25" s="1"/>
  <c r="E121" i="24"/>
  <c r="E122" i="24" s="1"/>
  <c r="E125" i="24" s="1"/>
  <c r="D41" i="25" s="1"/>
  <c r="E34" i="25" l="1"/>
  <c r="E44" i="25"/>
  <c r="E40" i="25"/>
  <c r="D34" i="25"/>
  <c r="D44" i="25"/>
  <c r="D40" i="25"/>
  <c r="D60" i="25"/>
  <c r="E123" i="24"/>
  <c r="F123" i="24"/>
  <c r="E60" i="25"/>
  <c r="E43" i="25" l="1"/>
  <c r="E42" i="25"/>
  <c r="E61" i="25"/>
  <c r="E45" i="25"/>
  <c r="D43" i="25"/>
  <c r="D42" i="25"/>
  <c r="D45" i="25"/>
  <c r="D61" i="25"/>
</calcChain>
</file>

<file path=xl/sharedStrings.xml><?xml version="1.0" encoding="utf-8"?>
<sst xmlns="http://schemas.openxmlformats.org/spreadsheetml/2006/main" count="1619" uniqueCount="781">
  <si>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</si>
  <si>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</si>
  <si>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</si>
  <si>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</si>
  <si>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</si>
  <si>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</si>
  <si>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</si>
  <si>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</si>
  <si>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</si>
  <si>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</si>
  <si>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</si>
  <si>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</si>
  <si>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</si>
  <si>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</si>
  <si>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</si>
  <si>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</si>
  <si>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</si>
  <si>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</si>
  <si>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</si>
  <si>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</si>
  <si>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t>Приложение № 1</t>
  </si>
  <si>
    <t>РАЗХОДИ ЗА ПРОИЗВОДСТВО НА</t>
  </si>
  <si>
    <t>№</t>
  </si>
  <si>
    <t>НАИМЕНОВАНИЕ НА РАЗХОДА</t>
  </si>
  <si>
    <t>МЯРКА</t>
  </si>
  <si>
    <t>ПРОИЗ.</t>
  </si>
  <si>
    <t>ПРЕНОС</t>
  </si>
  <si>
    <t>ОБЩО</t>
  </si>
  <si>
    <t>6 = 4 + 5</t>
  </si>
  <si>
    <t>9 = 7 + 8</t>
  </si>
  <si>
    <t>І</t>
  </si>
  <si>
    <t xml:space="preserve">НЕОБХОДИМИ ГОДИШНИ ПРИХОДИ </t>
  </si>
  <si>
    <t>хил. лв</t>
  </si>
  <si>
    <t>ІІ</t>
  </si>
  <si>
    <t>ВЪЗВРЪЩАЕМОСТ НА КАПИТАЛА</t>
  </si>
  <si>
    <t>ІІІ</t>
  </si>
  <si>
    <t>ПРИЗНАТИ ГОДИШНИ РАЗХОДИ ЗА ДЕЙНОСТТА ПО ЛИЦЕНЗИЯТА</t>
  </si>
  <si>
    <t>ІV</t>
  </si>
  <si>
    <t>УСЛОВНО-ПОСТОЯННИ   РАЗХОДИ</t>
  </si>
  <si>
    <t>V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</si>
  <si>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</si>
  <si>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t>Разходи за амортизации</t>
  </si>
  <si>
    <t>1.1.</t>
  </si>
  <si>
    <t>отнесени към електрическата енергия</t>
  </si>
  <si>
    <t>1.2.</t>
  </si>
  <si>
    <t xml:space="preserve"> отнесени към топлинната енергия:</t>
  </si>
  <si>
    <t>в това число за Ам на ВК§ППК</t>
  </si>
  <si>
    <t>1.3.</t>
  </si>
  <si>
    <t>общи за двата продукта</t>
  </si>
  <si>
    <t>Разходи за ремонт</t>
  </si>
  <si>
    <t>2.1.</t>
  </si>
  <si>
    <t xml:space="preserve"> отнесени към електрическата енергия</t>
  </si>
  <si>
    <t>2.2.</t>
  </si>
  <si>
    <t>в това число за ремонт на ВК§ППК</t>
  </si>
  <si>
    <t>2.3.</t>
  </si>
  <si>
    <t>Разходи за заплати и възнаграждения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</si>
  <si>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</si>
  <si>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4.1.</t>
  </si>
  <si>
    <t>осигурителни вноски</t>
  </si>
  <si>
    <t>4.2.</t>
  </si>
  <si>
    <t>социални разходи</t>
  </si>
  <si>
    <t>Разходи, пряко свързани с регулираните дейности по ЗЕ</t>
  </si>
  <si>
    <t>5.1.</t>
  </si>
  <si>
    <t>Горива за автотранспорт</t>
  </si>
  <si>
    <t>5.2.</t>
  </si>
  <si>
    <t>Работно облекло</t>
  </si>
  <si>
    <t>5.3.</t>
  </si>
  <si>
    <t>Канцеларски материали</t>
  </si>
  <si>
    <t>5.4.</t>
  </si>
  <si>
    <t>Материали за текущо поддържане</t>
  </si>
  <si>
    <t>5.5.</t>
  </si>
  <si>
    <t>Застраховки</t>
  </si>
  <si>
    <t>5.6.</t>
  </si>
  <si>
    <t>Данъци и такси</t>
  </si>
  <si>
    <t>5.7.</t>
  </si>
  <si>
    <t>Пощенски разходи, телефони и абонаменти</t>
  </si>
  <si>
    <t>5.8.</t>
  </si>
  <si>
    <t>Абонаментно поддържане</t>
  </si>
  <si>
    <t>5.9.</t>
  </si>
  <si>
    <t>Въоръжена и противопожарна охрана</t>
  </si>
  <si>
    <t>5.10.</t>
  </si>
  <si>
    <t>Наеми</t>
  </si>
  <si>
    <t>5.11.</t>
  </si>
  <si>
    <t>Проверка на уреди</t>
  </si>
  <si>
    <t>5.12.</t>
  </si>
  <si>
    <t>Съдебни разходи</t>
  </si>
  <si>
    <t>5.13.</t>
  </si>
  <si>
    <t>Експертни и одиторски разходи</t>
  </si>
  <si>
    <t>5.14.</t>
  </si>
  <si>
    <t>Вода, отопление и осветление</t>
  </si>
  <si>
    <t>5.15.</t>
  </si>
  <si>
    <t>Безплатна предпазна храна съгласно нормативен акт</t>
  </si>
  <si>
    <t>5.16.</t>
  </si>
  <si>
    <t>Охрана на труда</t>
  </si>
  <si>
    <t>5.17.</t>
  </si>
  <si>
    <t>Служебни карти и пътувания</t>
  </si>
  <si>
    <t>5.18.</t>
  </si>
  <si>
    <t>Командировки</t>
  </si>
  <si>
    <t>5.19.</t>
  </si>
  <si>
    <t>Услуги  граждански договори</t>
  </si>
  <si>
    <t>5.20.</t>
  </si>
  <si>
    <t>Разходи за публикации</t>
  </si>
  <si>
    <t>5.21.</t>
  </si>
  <si>
    <t>Изпитания на съоръженията</t>
  </si>
  <si>
    <t>5.22.</t>
  </si>
  <si>
    <t>Разходи за лицензионни такси</t>
  </si>
  <si>
    <t>5.23.</t>
  </si>
  <si>
    <t>Такса събрано инкасо</t>
  </si>
  <si>
    <t>5.24.</t>
  </si>
  <si>
    <t>5.25.</t>
  </si>
  <si>
    <t>5.26.</t>
  </si>
  <si>
    <t>5.27.</t>
  </si>
  <si>
    <t>5.28.</t>
  </si>
  <si>
    <t>5.29.</t>
  </si>
  <si>
    <t>5.30.</t>
  </si>
  <si>
    <t>Разходи, свързани с нерегулирана дейност</t>
  </si>
  <si>
    <t>хил.лв</t>
  </si>
  <si>
    <t>Приходи от присъединяване и услуги</t>
  </si>
  <si>
    <t>Приходи от топлоносител</t>
  </si>
  <si>
    <t>ПРОМЕНЛИВИ РАЗХОДИ</t>
  </si>
  <si>
    <t>Разходи за материали, в т.ч.</t>
  </si>
  <si>
    <t>1.1</t>
  </si>
  <si>
    <t>Разходи за гориво за комбирино производство на енергия, в т.ч. за:</t>
  </si>
  <si>
    <t>1.1.1</t>
  </si>
  <si>
    <t>природен газ</t>
  </si>
  <si>
    <t>1.1.2</t>
  </si>
  <si>
    <t>мазут</t>
  </si>
  <si>
    <t>1.1.3</t>
  </si>
  <si>
    <t>газьол</t>
  </si>
  <si>
    <t>1.1.4</t>
  </si>
  <si>
    <t>въглища</t>
  </si>
  <si>
    <t>1.1.5.</t>
  </si>
  <si>
    <t>1.2</t>
  </si>
  <si>
    <t>Разходи за гориво за производство на топлинна енергия (ВК§ППК), в т.ч. за:</t>
  </si>
  <si>
    <t>1.2.1</t>
  </si>
  <si>
    <t>1.2.2</t>
  </si>
  <si>
    <t>1.2.3</t>
  </si>
  <si>
    <t>1.2.4</t>
  </si>
  <si>
    <t>1.2.5.</t>
  </si>
  <si>
    <t>1.3</t>
  </si>
  <si>
    <t>Разходи за вода</t>
  </si>
  <si>
    <t>1.4</t>
  </si>
  <si>
    <t>Разходи за закупена енергия</t>
  </si>
  <si>
    <t>1.5</t>
  </si>
  <si>
    <t>Консумативи (химикали, реагенти)</t>
  </si>
  <si>
    <t>Разходи за външни услуги</t>
  </si>
  <si>
    <t>3</t>
  </si>
  <si>
    <t>Акциз на природния газ ОБЩО в т.ч.:</t>
  </si>
  <si>
    <t>3.1.</t>
  </si>
  <si>
    <t>Акциз на пр. газ за комб. производство</t>
  </si>
  <si>
    <t>3.2.</t>
  </si>
  <si>
    <t>Акциз на природен газ за ВК§ППК</t>
  </si>
  <si>
    <t>4</t>
  </si>
  <si>
    <t>Акциз на въглища за производство на топлинна енергия ОБЩО, в т.ч.: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</si>
  <si>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</si>
  <si>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</si>
  <si>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5</t>
  </si>
  <si>
    <t>Разходи за емисии парникови газове (СО2)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</si>
  <si>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</si>
  <si>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</si>
  <si>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</si>
  <si>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Гл. счетоводител:</t>
  </si>
  <si>
    <t>Изп. директор:</t>
  </si>
  <si>
    <t>РЕГУЛАТОРНА БАЗА НА АКТИВИТЕ ЗА ДРУЖЕСТВО</t>
  </si>
  <si>
    <t>Приложение № 2</t>
  </si>
  <si>
    <t>ПОЗИЦИЯ</t>
  </si>
  <si>
    <t>ОТЧЕТ към 31.12.2020 г.</t>
  </si>
  <si>
    <t>ОТЧЕТ към 31.12.2021 г.</t>
  </si>
  <si>
    <t>АКТИВИ-А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</si>
  <si>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</si>
  <si>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</si>
  <si>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 xml:space="preserve">1. </t>
  </si>
  <si>
    <t>ДМА- участвуващи в регулирането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</si>
  <si>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</si>
  <si>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</si>
  <si>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</si>
  <si>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</si>
  <si>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</si>
  <si>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</si>
  <si>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2.</t>
  </si>
  <si>
    <t>ДНА- участвуващи в регулирането</t>
  </si>
  <si>
    <t>Финансирания за дълготрайни активи-Ф</t>
  </si>
  <si>
    <t>III</t>
  </si>
  <si>
    <t>ОБОРОТЕН КАПИТАЛ-ОК</t>
  </si>
  <si>
    <t>IV</t>
  </si>
  <si>
    <t>РЕГУЛАТОРНА БАЗА НА АКТИВИТЕ- РБА</t>
  </si>
  <si>
    <t>ПРОИЗВОДСТВО</t>
  </si>
  <si>
    <t>КОМБИНИРАНО</t>
  </si>
  <si>
    <t>РАЗДЕЛНО (ВК&amp;ППК)</t>
  </si>
  <si>
    <t>електрическа енергия</t>
  </si>
  <si>
    <t>Дълготрайни материални активи-ДМА</t>
  </si>
  <si>
    <t>Дълготрайни нематериални активи-ДНА</t>
  </si>
  <si>
    <t>хил.лв.</t>
  </si>
  <si>
    <t>Оборотен капитал-ОК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</si>
  <si>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</si>
  <si>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t>топлинна енергия</t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</si>
  <si>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</si>
  <si>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Σ</t>
  </si>
  <si>
    <t>РЕГУЛАТОРНА БАЗА НА АКТИВИТЕ ОБЩО</t>
  </si>
  <si>
    <t>Приложение № 3</t>
  </si>
  <si>
    <t>НОРМА НА ВЪЗВРЪЩАЕМОСТ НА КАПИТАЛА</t>
  </si>
  <si>
    <t>Описание</t>
  </si>
  <si>
    <t>Мярка</t>
  </si>
  <si>
    <t>Към 31.12.2020 г.</t>
  </si>
  <si>
    <t>Към 31.12.2021 г.</t>
  </si>
  <si>
    <t>Собствен капитал</t>
  </si>
  <si>
    <t>хил. лв.</t>
  </si>
  <si>
    <t>Дял на собствения капитал</t>
  </si>
  <si>
    <t>%</t>
  </si>
  <si>
    <t>Норма на възвръщаемост на собствения капитал</t>
  </si>
  <si>
    <t xml:space="preserve">Привлечен капитал, в т. ч. </t>
  </si>
  <si>
    <t xml:space="preserve"> - договори за финансов лизинг</t>
  </si>
  <si>
    <t xml:space="preserve"> - кредити</t>
  </si>
  <si>
    <t>Дял на привлечения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</si>
  <si>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</si>
  <si>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</si>
  <si>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</si>
  <si>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 xml:space="preserve">Договори </t>
  </si>
  <si>
    <t>Стойност (хил. лв)</t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</si>
  <si>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</si>
  <si>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</si>
  <si>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Изплатена главница (хил. лв)</t>
  </si>
  <si>
    <t>Остатък главница              (хил. лв)</t>
  </si>
  <si>
    <t xml:space="preserve">Привлечен капитал, в т.ч. </t>
  </si>
  <si>
    <t xml:space="preserve"> - за финансов лизинг</t>
  </si>
  <si>
    <t>N-………/…………..г.</t>
  </si>
  <si>
    <t xml:space="preserve"> - за кредити</t>
  </si>
  <si>
    <t>Забележка:</t>
  </si>
  <si>
    <t>1.</t>
  </si>
  <si>
    <t>Приложение: Заверени копия на договорите за лизинг и кредит и анексите към тях.</t>
  </si>
  <si>
    <t>Приложение № 4</t>
  </si>
  <si>
    <t>ТЕХНИКО-ИКОНОМИЧЕСКИ ПОКАЗАТЕЛИ В ПРОИЗВОДСТВОТО НА</t>
  </si>
  <si>
    <t>ОЗНАЧЕНИЕ</t>
  </si>
  <si>
    <t>ДИМЕНСИЯ</t>
  </si>
  <si>
    <t>ОТЧЕТ</t>
  </si>
  <si>
    <t>ПРОГНОЗА за НРП</t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</si>
  <si>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</si>
  <si>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>Q отп</t>
  </si>
  <si>
    <t>MWh</t>
  </si>
  <si>
    <t xml:space="preserve">гореща вода (към преноса, собствено потребление и потребители) </t>
  </si>
  <si>
    <t>Q отп, гв</t>
  </si>
  <si>
    <t xml:space="preserve">водна пара (към преноса, собствено потребление и потребители) </t>
  </si>
  <si>
    <t>Q отп, вп</t>
  </si>
  <si>
    <t>Топлинна енергия за собствено потребление</t>
  </si>
  <si>
    <t>Q сн</t>
  </si>
  <si>
    <t>гореща вода</t>
  </si>
  <si>
    <t>Q сн, гв</t>
  </si>
  <si>
    <t>водна пара</t>
  </si>
  <si>
    <t>Q сн, вп</t>
  </si>
  <si>
    <t>Топлинна енергия за собствени нужди</t>
  </si>
  <si>
    <t xml:space="preserve">Отпусната топлинна енергия от съоръженията ОБЩО </t>
  </si>
  <si>
    <t>Q пр</t>
  </si>
  <si>
    <t>Q пр, гв</t>
  </si>
  <si>
    <t>Q пр, вп</t>
  </si>
  <si>
    <t>ТЕХНИЧЕСКИ ПОКАЗАТЕЛИ НА КОМБИНИРАНАТА ЧАСТ ОТ ЦЕНТРАЛАТА</t>
  </si>
  <si>
    <t>Произведена топлинна енергия от комбинирано производство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</si>
  <si>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</si>
  <si>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t>6.1.</t>
  </si>
  <si>
    <t>Q пр,гв</t>
  </si>
  <si>
    <t>6.2.</t>
  </si>
  <si>
    <t>Q пр,вп</t>
  </si>
  <si>
    <t>Произведена електрическа енергия</t>
  </si>
  <si>
    <t>Е бр</t>
  </si>
  <si>
    <t>7.1.</t>
  </si>
  <si>
    <t>Произведена комбинирана електрическа енергия от ВЕКП</t>
  </si>
  <si>
    <t>Е векп</t>
  </si>
  <si>
    <t>7.2.</t>
  </si>
  <si>
    <t>Произведена комбинирана електрическа енергия</t>
  </si>
  <si>
    <t>Е комб.</t>
  </si>
  <si>
    <t>7.3.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</si>
  <si>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</si>
  <si>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Е не комб.</t>
  </si>
  <si>
    <t>Условно гориво за производство на енергия в комбинираната част</t>
  </si>
  <si>
    <t>В cf</t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</si>
  <si>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</si>
  <si>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Топлина на горивата за производство, натурални количества и съотвения им дял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</si>
  <si>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</si>
  <si>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t>9.1.</t>
  </si>
  <si>
    <t>Впг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</si>
  <si>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</si>
  <si>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t>9.2.</t>
  </si>
  <si>
    <t>Вм</t>
  </si>
  <si>
    <t>t</t>
  </si>
  <si>
    <t>9.3.</t>
  </si>
  <si>
    <t>Вг</t>
  </si>
  <si>
    <t>9.4.</t>
  </si>
  <si>
    <t>Вв</t>
  </si>
  <si>
    <t>9.5.</t>
  </si>
  <si>
    <t>друг вид гориво (ВЕИ)</t>
  </si>
  <si>
    <t>Ввеи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</si>
  <si>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</si>
  <si>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</si>
  <si>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GJ</t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</si>
  <si>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</si>
  <si>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Икономия на първичен енергиен ресурс (гориво) спрямо раздено производство</t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</si>
  <si>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</si>
  <si>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</si>
  <si>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</si>
  <si>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</si>
  <si>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</si>
  <si>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t>g/kWh</t>
  </si>
  <si>
    <t>за топлинна енергия</t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</si>
  <si>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</si>
  <si>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kg/MWh</t>
  </si>
  <si>
    <t>ТЕХНИЧЕСКИ ПОКАЗАТЕЛИ НА ВОДОГРЕЙНАТА  И  ПАРНА ЧАСТ ОТ ЦЕНТРАЛАТА</t>
  </si>
  <si>
    <t>Произведена топлинна енергия от ВК и ППК</t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</si>
  <si>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</si>
  <si>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t>16.1.</t>
  </si>
  <si>
    <t>16.2.</t>
  </si>
  <si>
    <t>Условно гориво за производство на енергия във ВК и ППК</t>
  </si>
  <si>
    <t>В ен.ч.</t>
  </si>
  <si>
    <t>t у.г.</t>
  </si>
  <si>
    <t>Топлина на горивата за производство и натурални количества</t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</si>
  <si>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</si>
  <si>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18.1.</t>
  </si>
  <si>
    <t>В пг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</si>
  <si>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</si>
  <si>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t>18.2.</t>
  </si>
  <si>
    <t>В м</t>
  </si>
  <si>
    <t>18.3.</t>
  </si>
  <si>
    <t>В г</t>
  </si>
  <si>
    <t>18.4.</t>
  </si>
  <si>
    <t>18.5.</t>
  </si>
  <si>
    <t>Q веи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</si>
  <si>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</si>
  <si>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</si>
  <si>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</si>
  <si>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</si>
  <si>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</si>
  <si>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t>ТЕХНИКО ИКОНОМИЧЕСКИ ПОКАЗАТЕЛИ ЗА ЦЕНТРАЛАТА</t>
  </si>
  <si>
    <t xml:space="preserve">Електрическа енергия за собствени нужди на централата, за производство на: </t>
  </si>
  <si>
    <t>Е сн</t>
  </si>
  <si>
    <t>23.1.</t>
  </si>
  <si>
    <t xml:space="preserve">                                                  електрическа енергия</t>
  </si>
  <si>
    <t>Е сн (ел)</t>
  </si>
  <si>
    <t>23.2.</t>
  </si>
  <si>
    <t>Е сн(т)</t>
  </si>
  <si>
    <t>23.3.</t>
  </si>
  <si>
    <t>Електрическа енергия за собствени нужди</t>
  </si>
  <si>
    <t>Продадена електрическа енергия и за собствено потребление, в т.ч.:</t>
  </si>
  <si>
    <t>Е нето</t>
  </si>
  <si>
    <t>24.1.</t>
  </si>
  <si>
    <t>комбинирана електрическа енергия от високоефективно производство</t>
  </si>
  <si>
    <t>24.2.</t>
  </si>
  <si>
    <t>комбинирана електрическа енергия</t>
  </si>
  <si>
    <t>24.3.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</si>
  <si>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</si>
  <si>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Условно гориво за производство на енергия</t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</si>
  <si>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</si>
  <si>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Q горива</t>
  </si>
  <si>
    <t>26.1.</t>
  </si>
  <si>
    <t>26.2.</t>
  </si>
  <si>
    <t>26.3.</t>
  </si>
  <si>
    <t>26.4.</t>
  </si>
  <si>
    <t>26.5.</t>
  </si>
  <si>
    <t>27.1.</t>
  </si>
  <si>
    <t>Долна работна калоричност на горивата                                 природен газ</t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</si>
  <si>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</si>
  <si>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</si>
  <si>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t>27.2.</t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</si>
  <si>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</si>
  <si>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t>kcal/kg</t>
  </si>
  <si>
    <t>27.3.</t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</si>
  <si>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</si>
  <si>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t>27.4.</t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</si>
  <si>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</si>
  <si>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t>27.5.</t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</si>
  <si>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</si>
  <si>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</si>
  <si>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28.1.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</si>
  <si>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</si>
  <si>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Qпг</t>
  </si>
  <si>
    <t>28.2.</t>
  </si>
  <si>
    <t>Qм</t>
  </si>
  <si>
    <t>28.3.</t>
  </si>
  <si>
    <t>Qг</t>
  </si>
  <si>
    <t>28.4.</t>
  </si>
  <si>
    <t>Qв</t>
  </si>
  <si>
    <t>28.5.</t>
  </si>
  <si>
    <t>Qвеи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</si>
  <si>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</si>
  <si>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Цени на горивата без ДДС</t>
  </si>
  <si>
    <t>Ц гориво</t>
  </si>
  <si>
    <t>BGN/MWh</t>
  </si>
  <si>
    <t>29.1.</t>
  </si>
  <si>
    <t xml:space="preserve">                                                           природен газ</t>
  </si>
  <si>
    <t>Цпг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</si>
  <si>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</si>
  <si>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29.2.</t>
  </si>
  <si>
    <t>Цм</t>
  </si>
  <si>
    <t>BGN/t</t>
  </si>
  <si>
    <t>29.3.</t>
  </si>
  <si>
    <t>Цг</t>
  </si>
  <si>
    <t>29.4.</t>
  </si>
  <si>
    <t>Цв</t>
  </si>
  <si>
    <t>29.5.</t>
  </si>
  <si>
    <t>Цвеи</t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</si>
  <si>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</si>
  <si>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</si>
  <si>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</si>
  <si>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</si>
  <si>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</si>
  <si>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t>34.1.</t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</si>
  <si>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</si>
  <si>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t>34.2.</t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</si>
  <si>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</si>
  <si>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t>34.3.</t>
  </si>
  <si>
    <t>Количество закупени емисии парникови газове (СО2)</t>
  </si>
  <si>
    <t>34.4.</t>
  </si>
  <si>
    <t>Количество продадени емисии парникови газове (СО2)</t>
  </si>
  <si>
    <t>Средна цена на закупени емисии парникови газове (СО2)</t>
  </si>
  <si>
    <t>Ц емисии</t>
  </si>
  <si>
    <t>Средна цена на продадени емисии парникови газове (СО2)</t>
  </si>
  <si>
    <t>Призната мощност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</si>
  <si>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</si>
  <si>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t>MW</t>
  </si>
  <si>
    <t>37.1.</t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</si>
  <si>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</si>
  <si>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t>37.2.</t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</si>
  <si>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</si>
  <si>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t>Необходими Годишни Приходи за производство на Електрическа енергия</t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</si>
  <si>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</si>
  <si>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t>kBGN</t>
  </si>
  <si>
    <t>38.1.</t>
  </si>
  <si>
    <t>ВЪЗВРЪЩАЕМОСТ НА КАПИТАЛА ЗА Електрическа енергия</t>
  </si>
  <si>
    <t>38.2.</t>
  </si>
  <si>
    <t>Признати Годишни Разходи за производство на Електрическа енергия</t>
  </si>
  <si>
    <t>38.3.</t>
  </si>
  <si>
    <t>Условно-Постоянни Разходи за производство на Електрическа енергия</t>
  </si>
  <si>
    <t>38.4.</t>
  </si>
  <si>
    <t>Променливи Разходи за производство на Електрическа енергия</t>
  </si>
  <si>
    <t>Индивидуални разходи за единица електрическа енергия</t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</si>
  <si>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</si>
  <si>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t>Индивидуални разходи за единица топлинна енергия</t>
  </si>
  <si>
    <t>40.1.</t>
  </si>
  <si>
    <t>Необходими годишни приходи за топлинна енергия</t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</si>
  <si>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</si>
  <si>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40.2.</t>
  </si>
  <si>
    <t>ВЪЗВРЪЩАЕМОСТ НА КАПИТАЛА ЗА  Топлинна енергия</t>
  </si>
  <si>
    <t>40.3.</t>
  </si>
  <si>
    <t>Признати Годишни Разходи за производство на Топлинна енергия</t>
  </si>
  <si>
    <t>40.4.</t>
  </si>
  <si>
    <t>Условно-Постоянни Разходи за производство на Топлинна енергия</t>
  </si>
  <si>
    <t>40.5.</t>
  </si>
  <si>
    <t>Променливи Разходи за производство на Топлинна енергия</t>
  </si>
  <si>
    <t>Добавка</t>
  </si>
  <si>
    <t>Преференциална цена на електрическата енергия</t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</si>
  <si>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</si>
  <si>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</si>
  <si>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t>Цена за некомбинирана електрическа енергия</t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</si>
  <si>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</si>
  <si>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t>Приходи от електрическа енергия</t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</si>
  <si>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</si>
  <si>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t>Необходими приходи от топлинна енергия след добавка на ел. ен.</t>
  </si>
  <si>
    <t>Производствена цена на  топлинната енергия</t>
  </si>
  <si>
    <t>Цпр,т</t>
  </si>
  <si>
    <t>Производствена цена на  топлинната енергия с гореща вода</t>
  </si>
  <si>
    <t>Цпр гв</t>
  </si>
  <si>
    <t>Производствена цена на  топлинната енергия с водна пара</t>
  </si>
  <si>
    <t>Цпр вп</t>
  </si>
  <si>
    <t>ПРОГНОЗА</t>
  </si>
  <si>
    <t>Работещи  в производството на топлинна и електрическа енергия (топлоизточник)</t>
  </si>
  <si>
    <t>бр.</t>
  </si>
  <si>
    <t>Работещи  в преноса на топлинна енергия (преносно предприятие)</t>
  </si>
  <si>
    <t>Работещи  ОБЩО  (производство на ЕЕ и/или ТЕ и пренос на топлинна енергия)</t>
  </si>
  <si>
    <t>Приложение № 5</t>
  </si>
  <si>
    <t>ТЕХНИКО-ИКОНОМИЧЕСКИ ПОКАЗАТЕЛИ В ПРЕНОСА</t>
  </si>
  <si>
    <t>№ по ред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</si>
  <si>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</si>
  <si>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t xml:space="preserve">Топлинна енергия за разпределение - с гореща вода: </t>
  </si>
  <si>
    <t>потребители за битови нужди</t>
  </si>
  <si>
    <t>потребители за стопански нужди</t>
  </si>
  <si>
    <t>Технологични разходи на топлинна енергия по преноса</t>
  </si>
  <si>
    <t>Отпусната топлина към преноса с гореща вода</t>
  </si>
  <si>
    <t>Пълни разходи в производство за топлинна енергия с горща вода</t>
  </si>
  <si>
    <t>Необходими приходи в преноса на топлинна енергия с горща вода</t>
  </si>
  <si>
    <t>Възвращаемост в преноса на  топлинна енергия с горща вода</t>
  </si>
  <si>
    <t>Признати годишни разходи в преноса на топлинна енергия с гореща вода</t>
  </si>
  <si>
    <t>УПР в преноса на  топлинна енергия с горща вода</t>
  </si>
  <si>
    <t>Променливи Разходи в преноса на  топлинна енергия с горща вода</t>
  </si>
  <si>
    <t>Разходи за ТР в преноса на  топлинна енергия с горща вода</t>
  </si>
  <si>
    <t>Цена на топлинна енергия с гореща вода (от производство)</t>
  </si>
  <si>
    <t>лв/MWh</t>
  </si>
  <si>
    <t>Цена за пренос на топлинна енергия с гореща вода (за пренос)</t>
  </si>
  <si>
    <t>Компонента от ТР в цената за пренос на топлинна енергия с гореща вода</t>
  </si>
  <si>
    <t>Еднокомпонентна цена на топлинна енергия с гореща вода</t>
  </si>
  <si>
    <t>Приходи от топлинна енергия с гореща вода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</si>
  <si>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</si>
  <si>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t>Топлинна енергия за разпределение с водна пара</t>
  </si>
  <si>
    <t>Отпусната топлинна енергия към преноса с водна пара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</si>
  <si>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</si>
  <si>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</si>
  <si>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</si>
  <si>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Признати годишни разходи в преноса на топлинна енергия с водна пара</t>
  </si>
  <si>
    <t>УПР в преноса на  топлинна енергия с водна пара</t>
  </si>
  <si>
    <t>Променливи Разходи в преноса на  топлинна енергия с водна пара</t>
  </si>
  <si>
    <t>Разходи за ТР в преноса на  топлинна енергия с водна пара</t>
  </si>
  <si>
    <t>Цена на топлинна енергия с водна пара (от производство)</t>
  </si>
  <si>
    <t>Цена на топлинна енергия с водна пара (за пренос)</t>
  </si>
  <si>
    <t>Компонента от ТР в цена на топлинна енергия с водна пара (за пренос)</t>
  </si>
  <si>
    <t>Еднокомпонентна цена на топлинна енергия с водна пара</t>
  </si>
  <si>
    <t>НГП от топлинна енергия с водна пара</t>
  </si>
  <si>
    <t>ТЕХНИЧЕСКИ ПОКАЗАТЕЛИ</t>
  </si>
  <si>
    <t>Отопляем обем на имот на потребителите на т. енергия с г. вода, за:</t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</si>
  <si>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</si>
  <si>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сгради етажна собственост в т.ч. за:</t>
  </si>
  <si>
    <t>битови нужди</t>
  </si>
  <si>
    <t>стопански нужди</t>
  </si>
  <si>
    <t>самостоятелни потребители в т.ч. за:</t>
  </si>
  <si>
    <t>Работещи  по преноса на топлинна енергия (преносно предприятие)</t>
  </si>
  <si>
    <t>Проверка</t>
  </si>
  <si>
    <t>По разходи за топлинна енергия</t>
  </si>
  <si>
    <t>По приходи от топлинна енергия по еднокомпонентни цени</t>
  </si>
  <si>
    <t>Приложение № 6</t>
  </si>
  <si>
    <t>Изчисляване на коефициенти за разпределяне на разходите:</t>
  </si>
  <si>
    <t>ТЕХНИЧЕСКИ, ИКОНОМИЧЕСКИ И НАТУРАЛНИ ПОКАЗАТЕЛИ ПОКАЗАТЕЛИ</t>
  </si>
  <si>
    <t>Произведена прегрята пара от парогенераторите</t>
  </si>
  <si>
    <t>Dпп</t>
  </si>
  <si>
    <t>Енталпия на прегрята пара</t>
  </si>
  <si>
    <t>hпп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</si>
  <si>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</si>
  <si>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</si>
  <si>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</si>
  <si>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</si>
  <si>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</si>
  <si>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</si>
  <si>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</si>
  <si>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</si>
  <si>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Произведена топлинна енергия от ЕНЕРГИИНИ ПГ- бруто</t>
  </si>
  <si>
    <t>Qк,бр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</si>
  <si>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</si>
  <si>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</si>
  <si>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t xml:space="preserve">Коефициент на загубите на топлина </t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</si>
  <si>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</si>
  <si>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-</t>
  </si>
  <si>
    <t>Референтна топлинна ефективност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</si>
  <si>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</si>
  <si>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t>Референтна електрическа ефективност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</si>
  <si>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</si>
  <si>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t>ОБЩА ефективност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</si>
  <si>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</si>
  <si>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Топлинна ефективност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</si>
  <si>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</si>
  <si>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t>Електрическа ефективност</t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</si>
  <si>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</si>
  <si>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Коефициент на разпределение на горивото в производството</t>
  </si>
  <si>
    <r>
      <t>K ел.</t>
    </r>
    <r>
      <rPr>
        <b/>
        <vertAlign val="superscript"/>
        <sz val="10"/>
        <color indexed="8"/>
        <rFont val="Courier New"/>
        <family val="3"/>
        <charset val="204"/>
      </rPr>
      <t>КПД</t>
    </r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</si>
  <si>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</si>
  <si>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</si>
  <si>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Условно Гориво за производство на Електрическата енергия</t>
  </si>
  <si>
    <t>Условно Гориво за производство на Топлинната енергия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</si>
  <si>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</si>
  <si>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9"/>
        <rFont val="Times New Roman"/>
        <family val="1"/>
        <charset val="204"/>
      </rPr>
      <t>произв.</t>
    </r>
  </si>
  <si>
    <t>Разход на остра пара на турбините</t>
  </si>
  <si>
    <t>Dппо</t>
  </si>
  <si>
    <t>Енталпия на остра пара на турбините</t>
  </si>
  <si>
    <t>hппо</t>
  </si>
  <si>
    <t>Разход на пара от промишлен пароотбор на турбините</t>
  </si>
  <si>
    <t>Енталпия на пара от промишлен пароотбор на турбините</t>
  </si>
  <si>
    <t>Разход на пара на изхода от РОУ</t>
  </si>
  <si>
    <t>Dроу</t>
  </si>
  <si>
    <t>Енталпия на пара на изхода от РОУ</t>
  </si>
  <si>
    <t>hроу</t>
  </si>
  <si>
    <t>КУПЕНА Електрическа енергия</t>
  </si>
  <si>
    <t>33.1.</t>
  </si>
  <si>
    <t xml:space="preserve"> - в топлоизточника</t>
  </si>
  <si>
    <t>33.2.</t>
  </si>
  <si>
    <t xml:space="preserve"> - в преноса и разпределението</t>
  </si>
  <si>
    <t>Разход на пара от промишлен парен котел</t>
  </si>
  <si>
    <t>Dпр.к</t>
  </si>
  <si>
    <t>Енталпия на пара от промишлен парен котел</t>
  </si>
  <si>
    <t>hпр.к</t>
  </si>
  <si>
    <t>Разлика между енталпиите на водната пара и питателната вода</t>
  </si>
  <si>
    <t>Δh</t>
  </si>
  <si>
    <t>Температура на питателна (вхадяща) вода</t>
  </si>
  <si>
    <t>° C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</si>
  <si>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</si>
  <si>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</si>
  <si>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</si>
  <si>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hвр.к</t>
  </si>
  <si>
    <t>Количество на добавъчната вода (Обезсолена вода)</t>
  </si>
  <si>
    <t>Gдв</t>
  </si>
  <si>
    <t>Енталпия на добавъчната вода</t>
  </si>
  <si>
    <t>hдв</t>
  </si>
  <si>
    <t>Общ разход на мрежова вода в централата</t>
  </si>
  <si>
    <t>Gмр.в</t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</si>
  <si>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</si>
  <si>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</si>
  <si>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</si>
  <si>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</si>
  <si>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ИНСТАЛАЦИИ ЗА КОМБИНИРАНО ПРОИЗВОДСТВО НА ЕЛЕКТРИЧЕСКА И ТОПЛИННА ЕНЕРГИЯ</t>
  </si>
  <si>
    <t>Приложение № 7</t>
  </si>
  <si>
    <t>Параметри</t>
  </si>
  <si>
    <t>Дим.</t>
  </si>
  <si>
    <t>Паспортни данни</t>
  </si>
  <si>
    <t>ДВГ-1</t>
  </si>
  <si>
    <t>ДВГ-2</t>
  </si>
  <si>
    <t>ДВГ-3</t>
  </si>
  <si>
    <t>ДВГ-4</t>
  </si>
  <si>
    <t>ДВГ-5</t>
  </si>
  <si>
    <t>ДВГ-6</t>
  </si>
  <si>
    <t>ДВГ-7</t>
  </si>
  <si>
    <t>Ном. Електрическа мощност</t>
  </si>
  <si>
    <t>MWe</t>
  </si>
  <si>
    <t>Топлинна мощност</t>
  </si>
  <si>
    <t>MWq</t>
  </si>
  <si>
    <t>1.4.</t>
  </si>
  <si>
    <t>1.5.</t>
  </si>
  <si>
    <t xml:space="preserve">ГАЗОВИ ТУРБИНИ С КОТЛИ УТИЛИЗАТОРИ, ЕНЕРГИЙНИ ПАРОГЕНЕРАТОРИ И ПАРНИ ТУРБИНИ  (ПГЦ) и (ГТ с КУ)  </t>
  </si>
  <si>
    <t>ГТ с КУ, ЕПГ и ПТ</t>
  </si>
  <si>
    <t>ГТ-1</t>
  </si>
  <si>
    <t>ГТ-2</t>
  </si>
  <si>
    <t>Ном. Електрическа мощност ГТ</t>
  </si>
  <si>
    <t>Електрическа ефективност на ГТ</t>
  </si>
  <si>
    <t>Котел утилизатор (КУ)</t>
  </si>
  <si>
    <t>КУ-1</t>
  </si>
  <si>
    <t>КУ-2</t>
  </si>
  <si>
    <t>Топлинна мощност на КУ</t>
  </si>
  <si>
    <t>Топлинна мощност с вп КУ '</t>
  </si>
  <si>
    <t>3.3.</t>
  </si>
  <si>
    <t>Топлинна мощност с вп КУ "</t>
  </si>
  <si>
    <t>3.4.</t>
  </si>
  <si>
    <t>Топлинна мощност с гв КУ "'</t>
  </si>
  <si>
    <t>3.5.</t>
  </si>
  <si>
    <t>Топлинна ефективност на ГТ§КУ</t>
  </si>
  <si>
    <t>3.6.</t>
  </si>
  <si>
    <t>Номинален разход на пара КУ '</t>
  </si>
  <si>
    <t>t/h</t>
  </si>
  <si>
    <t>3.7.</t>
  </si>
  <si>
    <t>Номинален разход на пара КУ "</t>
  </si>
  <si>
    <t>3.8.</t>
  </si>
  <si>
    <t>Допълнително гориво за КУ</t>
  </si>
  <si>
    <t>3.9.</t>
  </si>
  <si>
    <t>Топлинна ефективност на КУ, кпд</t>
  </si>
  <si>
    <t>ТГ директно към КУ част от ПГЦ</t>
  </si>
  <si>
    <t>ТГку-1</t>
  </si>
  <si>
    <t>Ном. Електрическа мощност на ПТ(ТГ)</t>
  </si>
  <si>
    <t>Топлинна мощност на ППО</t>
  </si>
  <si>
    <t>4.3.</t>
  </si>
  <si>
    <t>Топлинна мощност на ТПО</t>
  </si>
  <si>
    <t>4.4.</t>
  </si>
  <si>
    <t>Разход на вп от ППО§Противоналягане</t>
  </si>
  <si>
    <t>4.5.</t>
  </si>
  <si>
    <t>Разход на вп от ТПО§Противоналягане</t>
  </si>
  <si>
    <t>4.6.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</si>
  <si>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</si>
  <si>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kcal/kWh</t>
  </si>
  <si>
    <t>ЕПГ на общ колектор с КУ</t>
  </si>
  <si>
    <t>ЕПГ-1</t>
  </si>
  <si>
    <t>ЕПГ-2</t>
  </si>
  <si>
    <t>ЕПГ-3</t>
  </si>
  <si>
    <t>ЕПГ-4</t>
  </si>
  <si>
    <t>Топлинна мощност на ЕПГ</t>
  </si>
  <si>
    <t>Номинален разход на пара ЕПГ</t>
  </si>
  <si>
    <t>6.3.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</si>
  <si>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</si>
  <si>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ТГ на общ колектор (КУ и ПГ)</t>
  </si>
  <si>
    <t>ТГ-1</t>
  </si>
  <si>
    <t>ТГ-2</t>
  </si>
  <si>
    <t>ТГ-3</t>
  </si>
  <si>
    <t>ТГ-4</t>
  </si>
  <si>
    <t>Електрическа мощност на ПТ (ТГ)</t>
  </si>
  <si>
    <t>7.4.</t>
  </si>
  <si>
    <t>7.5.</t>
  </si>
  <si>
    <t>7.6.</t>
  </si>
  <si>
    <t>ЕНЕРГИИНИ ПАРОГЕНЕРАТОРИ И ТУРБОГЕНЕРАТОРИ</t>
  </si>
  <si>
    <t>ЕНЕРГИЙНИ ПАРОГЕНЕРАТОРИ И ТУРБОГЕНЕРАТОРИ (ЕПГ и ТГ)</t>
  </si>
  <si>
    <t>Парогенератори</t>
  </si>
  <si>
    <t>Дименсия</t>
  </si>
  <si>
    <t>ПГ-1</t>
  </si>
  <si>
    <t>ПГ-2</t>
  </si>
  <si>
    <t>ПГ-3</t>
  </si>
  <si>
    <t>ПГ-4</t>
  </si>
  <si>
    <t>ПГ-5</t>
  </si>
  <si>
    <t>ПГ-6</t>
  </si>
  <si>
    <t>ПГ-7</t>
  </si>
  <si>
    <t>Тип</t>
  </si>
  <si>
    <t>Разход пара</t>
  </si>
  <si>
    <t>Енталпия пара</t>
  </si>
  <si>
    <t>Енталпия пит.вода</t>
  </si>
  <si>
    <t>Топлинна мощност (паспорт)</t>
  </si>
  <si>
    <t>Топлинна ефективност (паспорт)</t>
  </si>
  <si>
    <t>Турбогенератори</t>
  </si>
  <si>
    <t>ТГ-5</t>
  </si>
  <si>
    <t>ТГ-6</t>
  </si>
  <si>
    <t>ТГ-7</t>
  </si>
  <si>
    <t>4.7.</t>
  </si>
  <si>
    <t>РАЗДЕЛНО ПРОИЗВОДСТВО НА ТОПЛИННА ЕНЕРГИЯ</t>
  </si>
  <si>
    <t>Приложение № 8</t>
  </si>
  <si>
    <t>РАЗДЕЛНО ПРОИЗВОДСТВО НА ТОПЛИННА ЕНЕРГИЯ С ТОПЛОНОСИТЕЛ  ГОРЕЩА ВОДА</t>
  </si>
  <si>
    <t>ИНСТАЛИРАНИ ВОДОГРЕЙНИ КОТЛИ (ВК) В ЕКСПЛОАТАЦИЯ</t>
  </si>
  <si>
    <t>Водогрейни котли (ВК)</t>
  </si>
  <si>
    <t>ВК-1</t>
  </si>
  <si>
    <t>ВК-2</t>
  </si>
  <si>
    <t>ВК-3</t>
  </si>
  <si>
    <t>ВК-4</t>
  </si>
  <si>
    <t>ВК-5</t>
  </si>
  <si>
    <t>ВК-6</t>
  </si>
  <si>
    <t>ВК-7</t>
  </si>
  <si>
    <t>ВК-8</t>
  </si>
  <si>
    <t>BGN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</si>
  <si>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</si>
  <si>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</si>
  <si>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</si>
  <si>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</si>
  <si>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РАЗДЕЛНО ПРОИЗВОДСТВО НА ТОПЛИННА ЕНЕРГИЯ С ТОПЛОНОСИТЕЛ  ВОДНА ПАРА</t>
  </si>
  <si>
    <t>ИНСТАЛИРАНИ ПРОМИШЛИНИ ПАРНИ КОТЛИ (ППК) В ЕКСПЛОАТАЦИЯ</t>
  </si>
  <si>
    <t>Промишлени парни котли (ППК)</t>
  </si>
  <si>
    <t>ППК-1</t>
  </si>
  <si>
    <t>ППК-2</t>
  </si>
  <si>
    <t>ППК-3</t>
  </si>
  <si>
    <t>ППК-4</t>
  </si>
  <si>
    <t>ППК-5</t>
  </si>
  <si>
    <t>ППК-6</t>
  </si>
  <si>
    <t>ППК-7</t>
  </si>
  <si>
    <t>ППК-8</t>
  </si>
  <si>
    <t>Номинален разход водна пара</t>
  </si>
  <si>
    <t>Номинално налягане водна пара</t>
  </si>
  <si>
    <t>ata</t>
  </si>
  <si>
    <t>2.4.</t>
  </si>
  <si>
    <t>2.5.</t>
  </si>
  <si>
    <t>ПРОМИШЛИНИ ПАРНИ КОТЛИ (ППК) В ЕКСПЛОАТАЦИЯ</t>
  </si>
  <si>
    <t>Разход на водна пара</t>
  </si>
  <si>
    <t>Среден разход на водна пара</t>
  </si>
  <si>
    <t>Налягане на водна пара</t>
  </si>
  <si>
    <t>2.6.</t>
  </si>
  <si>
    <t>Топлинна ефективност ВК§ППК</t>
  </si>
  <si>
    <t>СПЕЦИФИКАЦИЯ</t>
  </si>
  <si>
    <t>Приложение № 9</t>
  </si>
  <si>
    <t>ГОДИШНО</t>
  </si>
  <si>
    <t>Основни съоръжения в работа всеки месец</t>
  </si>
  <si>
    <t>ПГ</t>
  </si>
  <si>
    <t>ТГ, ДВГ, ГТ и ТГку</t>
  </si>
  <si>
    <t>ВК и ППК</t>
  </si>
  <si>
    <t>Q реализация (продажба и собствено потребление)</t>
  </si>
  <si>
    <t>общо</t>
  </si>
  <si>
    <t>с гореща вода</t>
  </si>
  <si>
    <t>с водна пара</t>
  </si>
  <si>
    <t>Q отпуснато от източниците</t>
  </si>
  <si>
    <t>Q произведена (от съоръженията за комб. и разделно произв.)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</si>
  <si>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</si>
  <si>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Q произведена от ВК</t>
  </si>
  <si>
    <t>Q произведена от ППК</t>
  </si>
  <si>
    <t>Общо ВК§ППК</t>
  </si>
  <si>
    <t>Гориво за ВК§ППК</t>
  </si>
  <si>
    <t>топлина на горивата</t>
  </si>
  <si>
    <t>условно гориво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</si>
  <si>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</si>
  <si>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Гориво за ВК</t>
  </si>
  <si>
    <t>Гориво за ППК</t>
  </si>
  <si>
    <t>Горивa ОБЩО за ТЕЦ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</si>
  <si>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</si>
  <si>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</si>
  <si>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производство, в т.ч.:</t>
  </si>
  <si>
    <t>от Г на ДВГ, ГТ и ТГ</t>
  </si>
  <si>
    <t>комбинирана ел. ен.</t>
  </si>
  <si>
    <t>некомбинирана ел. ен.</t>
  </si>
  <si>
    <t>Е реализация</t>
  </si>
  <si>
    <t>собств. потребление</t>
  </si>
  <si>
    <t>продажба в т. ч. :</t>
  </si>
  <si>
    <t>Е продажба</t>
  </si>
  <si>
    <t>на НЕК</t>
  </si>
  <si>
    <t>на ЕРД</t>
  </si>
  <si>
    <t>Максимален топлинен товар</t>
  </si>
  <si>
    <t>ПГ3</t>
  </si>
  <si>
    <t>ПГ1,3</t>
  </si>
  <si>
    <t>ТГ1</t>
  </si>
  <si>
    <t>на Захарни заводи АД</t>
  </si>
  <si>
    <t>на свободен пазар</t>
  </si>
  <si>
    <t>ПГ 1,3</t>
  </si>
  <si>
    <t>"Захарни заводи"АД</t>
  </si>
  <si>
    <t>"ТЕЦ Горна Оряховица" ЕАД</t>
  </si>
  <si>
    <t>/ Росен Иванов /</t>
  </si>
  <si>
    <t>/ Анатолий Ботов/</t>
  </si>
  <si>
    <t>Справка за Привлечен капитал към 31.12.2021 г.</t>
  </si>
  <si>
    <t>N-Оборотен кредит</t>
  </si>
  <si>
    <t>БКЗ-75/39</t>
  </si>
  <si>
    <t>ПК-35/39</t>
  </si>
  <si>
    <t>Р-6-35/5М</t>
  </si>
  <si>
    <t>/Росен Иванов/</t>
  </si>
  <si>
    <t>/Анатолий Ботов/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</si>
</sst>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= (&quot;#,##0&quot; *&quot;"/>
    <numFmt numFmtId="206" formatCode="&quot;ДВИГАТЕЛИ С ВЪТРЕШНО ГОРЕНЕ (ДВГ) (qe = &quot;#,##0&quot; kcal/kWh)&quot;"/>
    <numFmt numFmtId="207" formatCode="&quot;ГТ с КУ (qe = &quot;#,##0&quot; kcal/kWh)&quot;"/>
    <numFmt numFmtId="208" formatCode="&quot;ГТ с КУ и ПТ (ПГЦ) (qe = &quot;#,##0&quot; kcal/kWh)&quot;"/>
    <numFmt numFmtId="209" formatCode="&quot;ОТЧЕТ за &quot;0&quot; г.&quot;"/>
    <numFmt numFmtId="210" formatCode="&quot;ПРОГНОЗА от &quot;0.0000&quot; г.&quot;"/>
    <numFmt numFmtId="211" formatCode="&quot;ПРОГНОЗА &quot;0.0000&quot; г.&quot;"/>
    <numFmt numFmtId="212" formatCode="&quot;Справка за Привлечен капитал  към &quot;0.0000&quot; г.&quot;"/>
    <numFmt numFmtId="213" formatCode="&quot;Към &quot;0.0000&quot; г.&quot;"/>
    <numFmt numFmtId="214" formatCode="&quot;ПРОГНОЗНИ ПАРАМЕТРИ &quot;0.0000&quot; г.&quot;"/>
    <numFmt numFmtId="215" formatCode="&quot;КОЛИЧЕСТВЕНИ ПОКАЗАТЕЛИ ЗА ПРОИЗВОДИТЕЛЯ - &quot;0.0000&quot; г.&quot;"/>
    <numFmt numFmtId="216" formatCode="&quot;ПОКАЗАТЕЛИ ЗА ПРОИЗВОДИТЕЛЯ  И ПРЕНОСА - &quot;0.0000&quot; г.&quot;"/>
    <numFmt numFmtId="217" formatCode="&quot;от &quot;0.0000&quot; г.&quot;"/>
    <numFmt numFmtId="218" formatCode="&quot;ПРОГНОЗНИ ПАРАМЕТРИ НРП от &quot;0.0000&quot; г.&quot;"/>
    <numFmt numFmtId="219" formatCode="&quot;ПРОГНОЗА за НРП от &quot;0.0000&quot; г.&quot;"/>
  </numFmts>
  <fonts count="88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Courier New"/>
      <family val="3"/>
      <charset val="204"/>
    </font>
    <font>
      <b/>
      <vertAlign val="superscript"/>
      <sz val="9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b/>
      <sz val="10"/>
      <color rgb="FF000000"/>
      <name val="Courier New"/>
      <family val="3"/>
      <charset val="204"/>
    </font>
    <font>
      <sz val="8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3" fontId="2" fillId="0" borderId="0"/>
  </cellStyleXfs>
  <cellXfs count="853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5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1" fillId="2" borderId="1" xfId="0" applyNumberFormat="1" applyFont="1" applyFill="1" applyBorder="1" applyAlignment="1" applyProtection="1">
      <alignment horizontal="center"/>
      <protection locked="0"/>
    </xf>
    <xf numFmtId="3" fontId="31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6" borderId="8" xfId="0" applyNumberFormat="1" applyFont="1" applyFill="1" applyBorder="1" applyAlignment="1" applyProtection="1">
      <alignment vertical="center" wrapText="1"/>
      <protection locked="0"/>
    </xf>
    <xf numFmtId="187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10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6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5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8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5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4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Protection="1"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1" fillId="0" borderId="0" xfId="0" applyFont="1" applyBorder="1" applyAlignment="1" applyProtection="1">
      <alignment horizontal="center"/>
      <protection hidden="1"/>
    </xf>
    <xf numFmtId="0" fontId="31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1" fillId="3" borderId="25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0" fontId="35" fillId="0" borderId="1" xfId="0" applyFont="1" applyBorder="1" applyAlignment="1" applyProtection="1">
      <alignment horizontal="center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1" fillId="0" borderId="0" xfId="0" applyNumberFormat="1" applyFont="1" applyProtection="1">
      <protection hidden="1"/>
    </xf>
    <xf numFmtId="3" fontId="31" fillId="0" borderId="25" xfId="0" applyNumberFormat="1" applyFont="1" applyBorder="1" applyAlignment="1" applyProtection="1">
      <alignment horizontal="center"/>
      <protection hidden="1"/>
    </xf>
    <xf numFmtId="0" fontId="31" fillId="0" borderId="3" xfId="0" applyFont="1" applyBorder="1" applyAlignment="1" applyProtection="1">
      <alignment horizontal="right"/>
      <protection hidden="1"/>
    </xf>
    <xf numFmtId="3" fontId="31" fillId="2" borderId="1" xfId="0" applyNumberFormat="1" applyFont="1" applyFill="1" applyBorder="1" applyAlignment="1" applyProtection="1">
      <alignment horizontal="center"/>
      <protection hidden="1"/>
    </xf>
    <xf numFmtId="3" fontId="31" fillId="0" borderId="3" xfId="0" applyNumberFormat="1" applyFont="1" applyFill="1" applyBorder="1" applyAlignment="1" applyProtection="1">
      <alignment horizontal="right"/>
      <protection hidden="1"/>
    </xf>
    <xf numFmtId="3" fontId="31" fillId="0" borderId="3" xfId="0" applyNumberFormat="1" applyFont="1" applyBorder="1" applyAlignment="1" applyProtection="1">
      <alignment horizontal="left"/>
      <protection hidden="1"/>
    </xf>
    <xf numFmtId="3" fontId="31" fillId="3" borderId="1" xfId="0" applyNumberFormat="1" applyFont="1" applyFill="1" applyBorder="1" applyAlignment="1" applyProtection="1">
      <alignment horizontal="center"/>
      <protection hidden="1"/>
    </xf>
    <xf numFmtId="10" fontId="31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1" fillId="0" borderId="3" xfId="0" applyNumberFormat="1" applyFont="1" applyBorder="1" applyAlignment="1" applyProtection="1">
      <alignment horizontal="left"/>
      <protection hidden="1"/>
    </xf>
    <xf numFmtId="3" fontId="31" fillId="0" borderId="1" xfId="0" applyNumberFormat="1" applyFont="1" applyFill="1" applyBorder="1" applyAlignment="1" applyProtection="1">
      <alignment horizontal="center"/>
      <protection hidden="1"/>
    </xf>
    <xf numFmtId="3" fontId="31" fillId="0" borderId="2" xfId="0" applyNumberFormat="1" applyFont="1" applyFill="1" applyBorder="1" applyAlignment="1" applyProtection="1">
      <alignment horizontal="center"/>
      <protection hidden="1"/>
    </xf>
    <xf numFmtId="3" fontId="36" fillId="0" borderId="3" xfId="0" applyNumberFormat="1" applyFont="1" applyFill="1" applyBorder="1" applyAlignment="1" applyProtection="1">
      <alignment horizontal="left"/>
      <protection hidden="1"/>
    </xf>
    <xf numFmtId="4" fontId="36" fillId="0" borderId="1" xfId="0" applyNumberFormat="1" applyFont="1" applyFill="1" applyBorder="1" applyAlignment="1" applyProtection="1">
      <alignment horizontal="center"/>
      <protection hidden="1"/>
    </xf>
    <xf numFmtId="3" fontId="31" fillId="0" borderId="3" xfId="0" applyNumberFormat="1" applyFont="1" applyFill="1" applyBorder="1" applyAlignment="1" applyProtection="1">
      <alignment horizontal="left"/>
      <protection hidden="1"/>
    </xf>
    <xf numFmtId="4" fontId="31" fillId="0" borderId="1" xfId="0" applyNumberFormat="1" applyFont="1" applyFill="1" applyBorder="1" applyAlignment="1" applyProtection="1">
      <alignment horizontal="center"/>
      <protection hidden="1"/>
    </xf>
    <xf numFmtId="170" fontId="69" fillId="3" borderId="1" xfId="0" applyNumberFormat="1" applyFont="1" applyFill="1" applyBorder="1" applyAlignment="1" applyProtection="1">
      <alignment horizontal="center"/>
      <protection hidden="1"/>
    </xf>
    <xf numFmtId="170" fontId="69" fillId="3" borderId="2" xfId="0" applyNumberFormat="1" applyFont="1" applyFill="1" applyBorder="1" applyAlignment="1" applyProtection="1">
      <alignment horizontal="center"/>
      <protection hidden="1"/>
    </xf>
    <xf numFmtId="0" fontId="35" fillId="4" borderId="25" xfId="0" applyFont="1" applyFill="1" applyBorder="1" applyAlignment="1" applyProtection="1">
      <alignment horizontal="center"/>
      <protection hidden="1"/>
    </xf>
    <xf numFmtId="0" fontId="35" fillId="4" borderId="3" xfId="0" applyFont="1" applyFill="1" applyBorder="1" applyAlignment="1" applyProtection="1">
      <alignment horizontal="center"/>
      <protection hidden="1"/>
    </xf>
    <xf numFmtId="0" fontId="35" fillId="4" borderId="1" xfId="0" applyFont="1" applyFill="1" applyBorder="1" applyAlignment="1" applyProtection="1">
      <alignment horizontal="center"/>
      <protection hidden="1"/>
    </xf>
    <xf numFmtId="10" fontId="31" fillId="0" borderId="2" xfId="0" applyNumberFormat="1" applyFont="1" applyBorder="1" applyAlignment="1" applyProtection="1">
      <alignment horizontal="center"/>
      <protection hidden="1"/>
    </xf>
    <xf numFmtId="3" fontId="31" fillId="0" borderId="1" xfId="0" applyNumberFormat="1" applyFont="1" applyBorder="1" applyAlignment="1" applyProtection="1">
      <alignment horizontal="center"/>
      <protection hidden="1"/>
    </xf>
    <xf numFmtId="3" fontId="31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2" fillId="3" borderId="1" xfId="0" applyNumberFormat="1" applyFont="1" applyFill="1" applyBorder="1" applyAlignment="1" applyProtection="1">
      <alignment horizontal="center"/>
      <protection hidden="1"/>
    </xf>
    <xf numFmtId="170" fontId="32" fillId="3" borderId="2" xfId="0" applyNumberFormat="1" applyFont="1" applyFill="1" applyBorder="1" applyAlignment="1" applyProtection="1">
      <alignment horizontal="center"/>
      <protection hidden="1"/>
    </xf>
    <xf numFmtId="3" fontId="35" fillId="3" borderId="1" xfId="0" applyNumberFormat="1" applyFont="1" applyFill="1" applyBorder="1" applyAlignment="1" applyProtection="1">
      <alignment horizontal="center"/>
      <protection hidden="1"/>
    </xf>
    <xf numFmtId="3" fontId="29" fillId="0" borderId="1" xfId="0" applyNumberFormat="1" applyFont="1" applyFill="1" applyBorder="1" applyAlignment="1" applyProtection="1">
      <alignment horizontal="center"/>
      <protection hidden="1"/>
    </xf>
    <xf numFmtId="0" fontId="31" fillId="0" borderId="26" xfId="0" applyFont="1" applyBorder="1" applyProtection="1">
      <protection hidden="1"/>
    </xf>
    <xf numFmtId="0" fontId="31" fillId="0" borderId="0" xfId="0" applyFont="1" applyBorder="1" applyProtection="1">
      <protection hidden="1"/>
    </xf>
    <xf numFmtId="0" fontId="31" fillId="0" borderId="0" xfId="0" applyFont="1" applyAlignment="1" applyProtection="1">
      <alignment vertical="center"/>
      <protection hidden="1"/>
    </xf>
    <xf numFmtId="0" fontId="38" fillId="0" borderId="0" xfId="0" applyFont="1" applyProtection="1">
      <protection hidden="1"/>
    </xf>
    <xf numFmtId="0" fontId="31" fillId="0" borderId="0" xfId="0" applyFont="1" applyFill="1" applyProtection="1"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39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vertical="center"/>
      <protection hidden="1"/>
    </xf>
    <xf numFmtId="3" fontId="71" fillId="0" borderId="2" xfId="0" applyNumberFormat="1" applyFont="1" applyFill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4" fontId="7" fillId="5" borderId="1" xfId="0" applyNumberFormat="1" applyFont="1" applyFill="1" applyBorder="1" applyAlignment="1" applyProtection="1">
      <alignment vertical="center"/>
      <protection hidden="1"/>
    </xf>
    <xf numFmtId="197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1" applyNumberFormat="1" applyFont="1" applyFill="1" applyBorder="1" applyAlignment="1" applyProtection="1">
      <alignment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169" fontId="14" fillId="0" borderId="1" xfId="1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3" fontId="62" fillId="3" borderId="1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3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6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2" fillId="0" borderId="6" xfId="0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7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200" fontId="4" fillId="6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5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9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8" fontId="7" fillId="6" borderId="1" xfId="0" applyNumberFormat="1" applyFont="1" applyFill="1" applyBorder="1" applyAlignment="1" applyProtection="1">
      <alignment vertical="center"/>
      <protection locked="0"/>
    </xf>
    <xf numFmtId="199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1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1" applyNumberFormat="1" applyFont="1" applyFill="1" applyBorder="1" applyAlignment="1" applyProtection="1">
      <alignment vertical="center"/>
      <protection hidden="1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1" applyNumberFormat="1" applyFont="1" applyFill="1" applyBorder="1" applyAlignment="1" applyProtection="1">
      <alignment vertical="center"/>
      <protection hidden="1"/>
    </xf>
    <xf numFmtId="3" fontId="62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2" fillId="0" borderId="28" xfId="0" applyNumberFormat="1" applyFont="1" applyFill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7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Border="1" applyAlignment="1" applyProtection="1">
      <alignment vertical="center"/>
      <protection hidden="1"/>
    </xf>
    <xf numFmtId="2" fontId="55" fillId="0" borderId="2" xfId="0" applyNumberFormat="1" applyFont="1" applyBorder="1" applyAlignment="1" applyProtection="1">
      <alignment vertical="center"/>
      <protection hidden="1"/>
    </xf>
    <xf numFmtId="2" fontId="79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1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49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0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6" fillId="2" borderId="1" xfId="0" applyFont="1" applyFill="1" applyBorder="1" applyAlignment="1" applyProtection="1">
      <alignment horizontal="left" vertical="center"/>
      <protection locked="0"/>
    </xf>
    <xf numFmtId="0" fontId="56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1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0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3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6" fillId="0" borderId="2" xfId="0" applyNumberFormat="1" applyFont="1" applyFill="1" applyBorder="1" applyAlignment="1" applyProtection="1">
      <alignment horizontal="center"/>
      <protection hidden="1"/>
    </xf>
    <xf numFmtId="4" fontId="31" fillId="0" borderId="2" xfId="0" applyNumberFormat="1" applyFont="1" applyFill="1" applyBorder="1" applyAlignment="1" applyProtection="1">
      <alignment horizontal="center"/>
      <protection hidden="1"/>
    </xf>
    <xf numFmtId="3" fontId="31" fillId="0" borderId="34" xfId="0" applyNumberFormat="1" applyFont="1" applyBorder="1" applyAlignment="1" applyProtection="1">
      <alignment horizontal="center"/>
      <protection hidden="1"/>
    </xf>
    <xf numFmtId="3" fontId="31" fillId="3" borderId="4" xfId="0" applyNumberFormat="1" applyFont="1" applyFill="1" applyBorder="1" applyAlignment="1" applyProtection="1">
      <alignment horizontal="left"/>
      <protection hidden="1"/>
    </xf>
    <xf numFmtId="0" fontId="31" fillId="0" borderId="5" xfId="0" applyFont="1" applyBorder="1" applyAlignment="1" applyProtection="1">
      <alignment horizontal="center"/>
      <protection hidden="1"/>
    </xf>
    <xf numFmtId="171" fontId="31" fillId="3" borderId="5" xfId="0" applyNumberFormat="1" applyFont="1" applyFill="1" applyBorder="1" applyAlignment="1" applyProtection="1">
      <alignment horizontal="center"/>
      <protection hidden="1"/>
    </xf>
    <xf numFmtId="171" fontId="31" fillId="3" borderId="10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4" fontId="4" fillId="0" borderId="1" xfId="0" applyNumberFormat="1" applyFont="1" applyBorder="1" applyAlignment="1" applyProtection="1">
      <alignment vertical="top" wrapText="1"/>
      <protection hidden="1"/>
    </xf>
    <xf numFmtId="214" fontId="4" fillId="0" borderId="1" xfId="0" applyNumberFormat="1" applyFont="1" applyBorder="1" applyAlignment="1" applyProtection="1">
      <alignment vertical="top"/>
      <protection hidden="1"/>
    </xf>
    <xf numFmtId="214" fontId="4" fillId="0" borderId="1" xfId="0" applyNumberFormat="1" applyFont="1" applyBorder="1" applyAlignment="1" applyProtection="1">
      <alignment vertical="center"/>
      <protection hidden="1"/>
    </xf>
    <xf numFmtId="189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29" fillId="3" borderId="3" xfId="0" applyNumberFormat="1" applyFont="1" applyFill="1" applyBorder="1" applyAlignment="1" applyProtection="1">
      <alignment horizontal="left" vertical="center"/>
      <protection hidden="1"/>
    </xf>
    <xf numFmtId="3" fontId="32" fillId="0" borderId="3" xfId="0" applyNumberFormat="1" applyFont="1" applyBorder="1" applyAlignment="1" applyProtection="1">
      <alignment horizontal="left" vertical="center"/>
      <protection hidden="1"/>
    </xf>
    <xf numFmtId="3" fontId="31" fillId="0" borderId="0" xfId="0" applyNumberFormat="1" applyFont="1" applyBorder="1" applyAlignment="1" applyProtection="1">
      <alignment horizontal="center"/>
      <protection hidden="1"/>
    </xf>
    <xf numFmtId="0" fontId="31" fillId="0" borderId="0" xfId="0" applyFont="1" applyFill="1" applyBorder="1" applyAlignment="1" applyProtection="1">
      <alignment horizontal="right"/>
      <protection hidden="1"/>
    </xf>
    <xf numFmtId="3" fontId="35" fillId="3" borderId="0" xfId="0" applyNumberFormat="1" applyFont="1" applyFill="1" applyBorder="1" applyAlignment="1" applyProtection="1">
      <alignment horizontal="center"/>
      <protection hidden="1"/>
    </xf>
    <xf numFmtId="3" fontId="29" fillId="0" borderId="2" xfId="0" applyNumberFormat="1" applyFont="1" applyFill="1" applyBorder="1" applyAlignment="1" applyProtection="1">
      <alignment horizontal="center"/>
      <protection hidden="1"/>
    </xf>
    <xf numFmtId="3" fontId="31" fillId="2" borderId="2" xfId="0" applyNumberFormat="1" applyFont="1" applyFill="1" applyBorder="1" applyAlignment="1" applyProtection="1">
      <alignment horizontal="center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3" fontId="35" fillId="3" borderId="13" xfId="0" applyNumberFormat="1" applyFont="1" applyFill="1" applyBorder="1" applyAlignment="1" applyProtection="1">
      <alignment horizontal="center"/>
      <protection hidden="1"/>
    </xf>
    <xf numFmtId="3" fontId="31" fillId="2" borderId="13" xfId="0" applyNumberFormat="1" applyFont="1" applyFill="1" applyBorder="1" applyAlignment="1" applyProtection="1">
      <alignment horizontal="center"/>
      <protection hidden="1"/>
    </xf>
    <xf numFmtId="3" fontId="31" fillId="2" borderId="35" xfId="0" applyNumberFormat="1" applyFont="1" applyFill="1" applyBorder="1" applyAlignment="1" applyProtection="1">
      <alignment horizontal="center"/>
      <protection hidden="1"/>
    </xf>
    <xf numFmtId="3" fontId="35" fillId="3" borderId="10" xfId="0" applyNumberFormat="1" applyFont="1" applyFill="1" applyBorder="1" applyAlignment="1" applyProtection="1">
      <alignment horizontal="center"/>
      <protection hidden="1"/>
    </xf>
    <xf numFmtId="3" fontId="36" fillId="0" borderId="6" xfId="0" applyNumberFormat="1" applyFont="1" applyFill="1" applyBorder="1" applyAlignment="1" applyProtection="1">
      <alignment horizontal="left"/>
      <protection hidden="1"/>
    </xf>
    <xf numFmtId="0" fontId="36" fillId="0" borderId="6" xfId="0" applyFont="1" applyFill="1" applyBorder="1" applyAlignment="1" applyProtection="1">
      <alignment horizontal="right"/>
      <protection hidden="1"/>
    </xf>
    <xf numFmtId="0" fontId="31" fillId="0" borderId="6" xfId="0" applyFont="1" applyFill="1" applyBorder="1" applyAlignment="1" applyProtection="1">
      <alignment horizontal="right"/>
      <protection hidden="1"/>
    </xf>
    <xf numFmtId="0" fontId="31" fillId="0" borderId="36" xfId="0" applyFont="1" applyFill="1" applyBorder="1" applyAlignment="1" applyProtection="1">
      <alignment horizontal="right"/>
      <protection hidden="1"/>
    </xf>
    <xf numFmtId="3" fontId="31" fillId="0" borderId="37" xfId="0" applyNumberFormat="1" applyFont="1" applyBorder="1" applyAlignment="1" applyProtection="1">
      <alignment horizontal="center"/>
      <protection hidden="1"/>
    </xf>
    <xf numFmtId="3" fontId="31" fillId="3" borderId="37" xfId="0" applyNumberFormat="1" applyFont="1" applyFill="1" applyBorder="1" applyAlignment="1" applyProtection="1">
      <alignment horizontal="center"/>
      <protection hidden="1"/>
    </xf>
    <xf numFmtId="3" fontId="31" fillId="0" borderId="38" xfId="0" applyNumberFormat="1" applyFont="1" applyBorder="1" applyAlignment="1" applyProtection="1">
      <alignment horizontal="center"/>
      <protection hidden="1"/>
    </xf>
    <xf numFmtId="3" fontId="31" fillId="0" borderId="39" xfId="0" applyNumberFormat="1" applyFont="1" applyBorder="1" applyAlignment="1" applyProtection="1">
      <alignment horizontal="center"/>
      <protection hidden="1"/>
    </xf>
    <xf numFmtId="3" fontId="31" fillId="0" borderId="19" xfId="0" applyNumberFormat="1" applyFont="1" applyBorder="1" applyAlignment="1" applyProtection="1">
      <alignment horizontal="left"/>
      <protection hidden="1"/>
    </xf>
    <xf numFmtId="3" fontId="34" fillId="3" borderId="9" xfId="0" applyNumberFormat="1" applyFont="1" applyFill="1" applyBorder="1" applyAlignment="1" applyProtection="1">
      <alignment horizontal="center"/>
      <protection hidden="1"/>
    </xf>
    <xf numFmtId="171" fontId="31" fillId="0" borderId="9" xfId="0" applyNumberFormat="1" applyFont="1" applyBorder="1" applyAlignment="1" applyProtection="1">
      <alignment horizontal="center"/>
      <protection hidden="1"/>
    </xf>
    <xf numFmtId="171" fontId="31" fillId="0" borderId="33" xfId="0" applyNumberFormat="1" applyFont="1" applyBorder="1" applyAlignment="1" applyProtection="1">
      <alignment horizontal="center"/>
      <protection hidden="1"/>
    </xf>
    <xf numFmtId="3" fontId="31" fillId="0" borderId="4" xfId="0" applyNumberFormat="1" applyFont="1" applyBorder="1" applyAlignment="1" applyProtection="1">
      <alignment horizontal="left"/>
      <protection hidden="1"/>
    </xf>
    <xf numFmtId="3" fontId="34" fillId="3" borderId="5" xfId="0" applyNumberFormat="1" applyFont="1" applyFill="1" applyBorder="1" applyAlignment="1" applyProtection="1">
      <alignment horizontal="center"/>
      <protection hidden="1"/>
    </xf>
    <xf numFmtId="171" fontId="31" fillId="0" borderId="5" xfId="0" applyNumberFormat="1" applyFont="1" applyBorder="1" applyAlignment="1" applyProtection="1">
      <alignment horizontal="center"/>
      <protection hidden="1"/>
    </xf>
    <xf numFmtId="171" fontId="31" fillId="0" borderId="10" xfId="0" applyNumberFormat="1" applyFont="1" applyBorder="1" applyAlignment="1" applyProtection="1">
      <alignment horizontal="center"/>
      <protection hidden="1"/>
    </xf>
    <xf numFmtId="3" fontId="36" fillId="0" borderId="0" xfId="0" applyNumberFormat="1" applyFont="1" applyFill="1" applyBorder="1" applyAlignment="1" applyProtection="1">
      <alignment horizontal="left"/>
      <protection hidden="1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8" fillId="0" borderId="1" xfId="0" applyNumberFormat="1" applyFont="1" applyFill="1" applyBorder="1" applyAlignment="1" applyProtection="1">
      <alignment vertical="center"/>
      <protection hidden="1"/>
    </xf>
    <xf numFmtId="3" fontId="51" fillId="0" borderId="1" xfId="0" applyNumberFormat="1" applyFont="1" applyFill="1" applyBorder="1" applyAlignment="1" applyProtection="1">
      <alignment vertical="center"/>
      <protection hidden="1"/>
    </xf>
    <xf numFmtId="0" fontId="46" fillId="0" borderId="1" xfId="0" applyFont="1" applyBorder="1" applyAlignment="1" applyProtection="1">
      <alignment vertical="center"/>
      <protection hidden="1"/>
    </xf>
    <xf numFmtId="0" fontId="49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58" fillId="0" borderId="1" xfId="0" applyFont="1" applyFill="1" applyBorder="1" applyAlignment="1" applyProtection="1">
      <alignment horizontal="left"/>
      <protection hidden="1"/>
    </xf>
    <xf numFmtId="3" fontId="31" fillId="0" borderId="3" xfId="0" applyNumberFormat="1" applyFont="1" applyBorder="1" applyAlignment="1" applyProtection="1">
      <alignment horizontal="center"/>
      <protection hidden="1"/>
    </xf>
    <xf numFmtId="3" fontId="31" fillId="3" borderId="2" xfId="0" applyNumberFormat="1" applyFont="1" applyFill="1" applyBorder="1" applyAlignment="1" applyProtection="1">
      <alignment horizontal="center"/>
      <protection hidden="1"/>
    </xf>
    <xf numFmtId="3" fontId="31" fillId="0" borderId="4" xfId="0" applyNumberFormat="1" applyFont="1" applyBorder="1" applyAlignment="1" applyProtection="1">
      <alignment horizontal="center"/>
      <protection hidden="1"/>
    </xf>
    <xf numFmtId="0" fontId="58" fillId="0" borderId="5" xfId="0" applyFont="1" applyFill="1" applyBorder="1" applyAlignment="1" applyProtection="1">
      <alignment horizontal="left"/>
      <protection hidden="1"/>
    </xf>
    <xf numFmtId="3" fontId="38" fillId="2" borderId="5" xfId="0" applyNumberFormat="1" applyFont="1" applyFill="1" applyBorder="1" applyAlignment="1" applyProtection="1">
      <alignment horizontal="center"/>
      <protection hidden="1"/>
    </xf>
    <xf numFmtId="3" fontId="38" fillId="2" borderId="10" xfId="0" applyNumberFormat="1" applyFont="1" applyFill="1" applyBorder="1" applyAlignment="1" applyProtection="1">
      <alignment horizontal="center"/>
      <protection hidden="1"/>
    </xf>
    <xf numFmtId="0" fontId="31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3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5" xfId="1" applyNumberFormat="1" applyFont="1" applyFill="1" applyBorder="1" applyAlignment="1" applyProtection="1">
      <alignment horizontal="center" vertical="center"/>
    </xf>
    <xf numFmtId="10" fontId="83" fillId="6" borderId="2" xfId="1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5" xfId="1" applyNumberFormat="1" applyFont="1" applyFill="1" applyBorder="1" applyAlignment="1" applyProtection="1">
      <alignment horizontal="center" vertical="center"/>
      <protection locked="0"/>
    </xf>
    <xf numFmtId="10" fontId="15" fillId="2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77" fillId="3" borderId="21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5" fillId="3" borderId="21" xfId="0" applyFont="1" applyFill="1" applyBorder="1" applyAlignment="1" applyProtection="1">
      <alignment horizontal="left" vertical="center"/>
    </xf>
    <xf numFmtId="0" fontId="85" fillId="3" borderId="21" xfId="0" applyFont="1" applyFill="1" applyBorder="1" applyAlignment="1" applyProtection="1">
      <alignment horizontal="center" vertical="center"/>
    </xf>
    <xf numFmtId="0" fontId="85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7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7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5" fillId="4" borderId="8" xfId="0" applyFont="1" applyFill="1" applyBorder="1" applyAlignment="1" applyProtection="1">
      <alignment horizontal="center"/>
      <protection hidden="1"/>
    </xf>
    <xf numFmtId="0" fontId="35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176" fontId="31" fillId="0" borderId="8" xfId="0" applyNumberFormat="1" applyFont="1" applyBorder="1" applyAlignment="1" applyProtection="1">
      <alignment horizontal="center" vertical="center"/>
      <protection hidden="1"/>
    </xf>
    <xf numFmtId="217" fontId="11" fillId="0" borderId="33" xfId="0" applyNumberFormat="1" applyFont="1" applyFill="1" applyBorder="1" applyAlignment="1" applyProtection="1">
      <alignment horizontal="center" vertical="center"/>
    </xf>
    <xf numFmtId="3" fontId="4" fillId="7" borderId="2" xfId="0" applyNumberFormat="1" applyFont="1" applyFill="1" applyBorder="1" applyAlignment="1" applyProtection="1">
      <alignment vertical="center"/>
      <protection hidden="1"/>
    </xf>
    <xf numFmtId="187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3" fontId="13" fillId="5" borderId="6" xfId="0" applyNumberFormat="1" applyFont="1" applyFill="1" applyBorder="1" applyAlignment="1" applyProtection="1">
      <alignment vertical="center"/>
      <protection hidden="1"/>
    </xf>
    <xf numFmtId="3" fontId="13" fillId="5" borderId="28" xfId="0" applyNumberFormat="1" applyFont="1" applyFill="1" applyBorder="1" applyAlignment="1" applyProtection="1">
      <alignment vertical="center"/>
      <protection hidden="1"/>
    </xf>
    <xf numFmtId="0" fontId="86" fillId="5" borderId="1" xfId="0" applyFont="1" applyFill="1" applyBorder="1"/>
    <xf numFmtId="167" fontId="76" fillId="5" borderId="1" xfId="0" applyNumberFormat="1" applyFont="1" applyFill="1" applyBorder="1" applyAlignment="1" applyProtection="1">
      <alignment vertical="center"/>
    </xf>
    <xf numFmtId="167" fontId="76" fillId="5" borderId="2" xfId="0" applyNumberFormat="1" applyFont="1" applyFill="1" applyBorder="1" applyAlignment="1" applyProtection="1">
      <alignment vertical="center"/>
    </xf>
    <xf numFmtId="0" fontId="84" fillId="5" borderId="1" xfId="0" applyFont="1" applyFill="1" applyBorder="1" applyAlignment="1" applyProtection="1">
      <alignment horizontal="center" vertical="center"/>
    </xf>
    <xf numFmtId="0" fontId="87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vertical="center"/>
    </xf>
    <xf numFmtId="0" fontId="17" fillId="5" borderId="1" xfId="0" applyFont="1" applyFill="1" applyBorder="1" applyAlignment="1" applyProtection="1">
      <alignment horizontal="left" vertical="center"/>
    </xf>
    <xf numFmtId="0" fontId="4" fillId="0" borderId="0" xfId="0" applyFont="1" applyAlignment="1">
      <alignment horizontal="center"/>
    </xf>
    <xf numFmtId="0" fontId="7" fillId="0" borderId="1" xfId="0" applyFont="1" applyBorder="1" applyAlignment="1" applyProtection="1">
      <alignment horizontal="center" vertical="center"/>
      <protection hidden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0" fontId="12" fillId="0" borderId="1" xfId="0" applyFont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31" fillId="0" borderId="0" xfId="0" applyFont="1" applyFill="1" applyAlignment="1" applyProtection="1">
      <alignment horizontal="left"/>
      <protection hidden="1"/>
    </xf>
    <xf numFmtId="0" fontId="42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8" borderId="0" xfId="0" applyFont="1" applyFill="1" applyAlignment="1" applyProtection="1">
      <alignment vertical="center"/>
      <protection hidden="1"/>
    </xf>
    <xf numFmtId="0" fontId="4" fillId="8" borderId="0" xfId="0" applyFont="1" applyFill="1" applyProtection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9" fontId="7" fillId="0" borderId="43" xfId="0" applyNumberFormat="1" applyFont="1" applyBorder="1" applyAlignment="1" applyProtection="1">
      <alignment horizontal="center" vertical="center"/>
      <protection hidden="1"/>
    </xf>
    <xf numFmtId="219" fontId="7" fillId="0" borderId="44" xfId="0" applyNumberFormat="1" applyFont="1" applyBorder="1" applyAlignment="1" applyProtection="1">
      <alignment horizontal="center" vertical="center"/>
      <protection hidden="1"/>
    </xf>
    <xf numFmtId="219" fontId="7" fillId="0" borderId="45" xfId="0" applyNumberFormat="1" applyFont="1" applyBorder="1" applyAlignment="1" applyProtection="1">
      <alignment horizontal="center" vertical="center"/>
      <protection hidden="1"/>
    </xf>
    <xf numFmtId="0" fontId="4" fillId="5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5" fontId="4" fillId="0" borderId="9" xfId="0" applyNumberFormat="1" applyFont="1" applyBorder="1" applyAlignment="1" applyProtection="1">
      <alignment horizontal="center" vertical="center" wrapText="1"/>
    </xf>
    <xf numFmtId="211" fontId="4" fillId="0" borderId="9" xfId="0" applyNumberFormat="1" applyFont="1" applyBorder="1" applyAlignment="1" applyProtection="1">
      <alignment horizontal="center" vertical="center" wrapText="1"/>
    </xf>
    <xf numFmtId="211" fontId="4" fillId="0" borderId="33" xfId="0" applyNumberFormat="1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184" fontId="11" fillId="0" borderId="0" xfId="0" applyNumberFormat="1" applyFont="1" applyBorder="1" applyAlignment="1" applyProtection="1">
      <alignment horizontal="center" vertical="center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 wrapText="1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33" xfId="0" applyNumberFormat="1" applyFont="1" applyFill="1" applyBorder="1" applyAlignment="1" applyProtection="1">
      <alignment horizontal="center" vertical="center" wrapText="1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/>
    </xf>
    <xf numFmtId="182" fontId="4" fillId="0" borderId="0" xfId="0" applyNumberFormat="1" applyFont="1" applyBorder="1" applyAlignment="1" applyProtection="1">
      <alignment horizontal="center" vertical="top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8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2" fontId="26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50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5" fontId="39" fillId="6" borderId="20" xfId="0" applyNumberFormat="1" applyFont="1" applyFill="1" applyBorder="1" applyAlignment="1" applyProtection="1">
      <alignment horizontal="center" vertical="center"/>
      <protection locked="0"/>
    </xf>
    <xf numFmtId="215" fontId="39" fillId="6" borderId="8" xfId="0" applyNumberFormat="1" applyFont="1" applyFill="1" applyBorder="1" applyAlignment="1" applyProtection="1">
      <alignment horizontal="center" vertical="center"/>
      <protection locked="0"/>
    </xf>
    <xf numFmtId="216" fontId="39" fillId="0" borderId="20" xfId="0" applyNumberFormat="1" applyFont="1" applyFill="1" applyBorder="1" applyAlignment="1" applyProtection="1">
      <alignment horizontal="center" vertical="center"/>
      <protection hidden="1"/>
    </xf>
    <xf numFmtId="216" fontId="39" fillId="0" borderId="8" xfId="0" applyNumberFormat="1" applyFont="1" applyFill="1" applyBorder="1" applyAlignment="1" applyProtection="1">
      <alignment horizontal="center" vertical="center"/>
      <protection hidden="1"/>
    </xf>
    <xf numFmtId="0" fontId="31" fillId="0" borderId="51" xfId="0" applyFont="1" applyBorder="1" applyAlignment="1" applyProtection="1">
      <alignment horizontal="center" vertical="justify"/>
      <protection hidden="1"/>
    </xf>
    <xf numFmtId="0" fontId="31" fillId="0" borderId="52" xfId="0" applyFont="1" applyBorder="1" applyAlignment="1" applyProtection="1">
      <alignment horizontal="center" vertical="justify"/>
      <protection hidden="1"/>
    </xf>
    <xf numFmtId="0" fontId="31" fillId="0" borderId="23" xfId="0" applyFont="1" applyBorder="1" applyAlignment="1" applyProtection="1">
      <alignment horizontal="center" vertical="center"/>
      <protection hidden="1"/>
    </xf>
    <xf numFmtId="0" fontId="31" fillId="0" borderId="21" xfId="0" applyFont="1" applyBorder="1" applyAlignment="1" applyProtection="1">
      <alignment horizontal="center" vertical="center"/>
      <protection hidden="1"/>
    </xf>
    <xf numFmtId="3" fontId="35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5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1" fillId="0" borderId="53" xfId="0" applyFont="1" applyBorder="1" applyAlignment="1" applyProtection="1">
      <alignment horizontal="center" vertical="justify"/>
      <protection hidden="1"/>
    </xf>
    <xf numFmtId="0" fontId="31" fillId="0" borderId="25" xfId="0" applyFont="1" applyBorder="1" applyAlignment="1" applyProtection="1">
      <alignment horizontal="center" vertical="justify"/>
      <protection hidden="1"/>
    </xf>
    <xf numFmtId="0" fontId="31" fillId="0" borderId="19" xfId="0" applyFont="1" applyBorder="1" applyAlignment="1" applyProtection="1">
      <alignment horizontal="center" vertical="center"/>
      <protection hidden="1"/>
    </xf>
    <xf numFmtId="0" fontId="31" fillId="0" borderId="3" xfId="0" applyFont="1" applyBorder="1" applyAlignment="1" applyProtection="1">
      <alignment horizontal="center" vertical="center"/>
      <protection hidden="1"/>
    </xf>
    <xf numFmtId="0" fontId="31" fillId="0" borderId="9" xfId="0" applyFont="1" applyBorder="1" applyAlignment="1" applyProtection="1">
      <alignment horizontal="center" vertical="center"/>
      <protection hidden="1"/>
    </xf>
    <xf numFmtId="0" fontId="31" fillId="0" borderId="1" xfId="0" applyFont="1" applyBorder="1" applyAlignment="1" applyProtection="1">
      <alignment horizontal="center" vertical="center"/>
      <protection hidden="1"/>
    </xf>
    <xf numFmtId="0" fontId="31" fillId="0" borderId="54" xfId="0" applyFont="1" applyBorder="1" applyAlignment="1" applyProtection="1">
      <alignment horizontal="center" vertical="justify"/>
      <protection hidden="1"/>
    </xf>
    <xf numFmtId="0" fontId="31" fillId="0" borderId="37" xfId="0" applyFont="1" applyBorder="1" applyAlignment="1" applyProtection="1">
      <alignment horizontal="center" vertical="justify"/>
      <protection hidden="1"/>
    </xf>
    <xf numFmtId="0" fontId="31" fillId="0" borderId="48" xfId="0" applyFont="1" applyBorder="1" applyAlignment="1" applyProtection="1">
      <alignment horizontal="center" vertical="center"/>
      <protection hidden="1"/>
    </xf>
    <xf numFmtId="0" fontId="31" fillId="0" borderId="6" xfId="0" applyFont="1" applyBorder="1" applyAlignment="1" applyProtection="1">
      <alignment horizontal="center" vertical="center"/>
      <protection hidden="1"/>
    </xf>
    <xf numFmtId="174" fontId="30" fillId="0" borderId="0" xfId="0" applyNumberFormat="1" applyFont="1" applyAlignment="1" applyProtection="1">
      <alignment horizont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29" fillId="0" borderId="0" xfId="0" applyFont="1" applyBorder="1" applyAlignment="1" applyProtection="1">
      <alignment horizontal="center" vertical="top" wrapText="1"/>
      <protection hidden="1"/>
    </xf>
    <xf numFmtId="0" fontId="31" fillId="0" borderId="0" xfId="0" applyFont="1" applyFill="1" applyAlignment="1" applyProtection="1">
      <alignment horizontal="left"/>
      <protection hidden="1"/>
    </xf>
    <xf numFmtId="0" fontId="31" fillId="0" borderId="27" xfId="0" applyFont="1" applyBorder="1" applyAlignment="1" applyProtection="1">
      <alignment horizontal="center" vertical="center"/>
      <protection hidden="1"/>
    </xf>
    <xf numFmtId="0" fontId="31" fillId="0" borderId="17" xfId="0" applyFont="1" applyBorder="1" applyAlignment="1" applyProtection="1">
      <alignment horizontal="center" vertical="center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2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206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9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8" fontId="7" fillId="0" borderId="41" xfId="0" applyNumberFormat="1" applyFont="1" applyBorder="1" applyAlignment="1" applyProtection="1">
      <alignment horizontal="center" vertical="center"/>
      <protection hidden="1"/>
    </xf>
    <xf numFmtId="218" fontId="7" fillId="0" borderId="36" xfId="0" applyNumberFormat="1" applyFont="1" applyBorder="1" applyAlignment="1" applyProtection="1">
      <alignment horizontal="center" vertical="center"/>
      <protection hidden="1"/>
    </xf>
    <xf numFmtId="218" fontId="7" fillId="0" borderId="21" xfId="0" applyNumberFormat="1" applyFont="1" applyBorder="1" applyAlignment="1" applyProtection="1">
      <alignment horizontal="center" vertical="center"/>
      <protection hidden="1"/>
    </xf>
    <xf numFmtId="218" fontId="7" fillId="0" borderId="22" xfId="0" applyNumberFormat="1" applyFont="1" applyBorder="1" applyAlignment="1" applyProtection="1">
      <alignment horizontal="center" vertical="center"/>
      <protection hidden="1"/>
    </xf>
    <xf numFmtId="214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</cellXfs>
  <cellStyles count="3">
    <cellStyle name="Standard_A" xfId="2"/>
    <cellStyle name="Нормален" xfId="0" builtinId="0"/>
    <cellStyle name="Процент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P-2012\N_tables-add-DVG&amp;GT-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4"/>
  <sheetViews>
    <sheetView topLeftCell="A16" workbookViewId="0">
      <selection activeCell="C25" sqref="C25"/>
    </sheetView>
  </sheetViews>
  <sheetFormatPr defaultRowHeight="12.75"/>
  <cols>
    <col min="1" max="1" width="9.140625" style="15"/>
    <col min="2" max="2" width="9.140625" style="43"/>
    <col min="3" max="16384" width="9.140625" style="15"/>
  </cols>
  <sheetData>
    <row r="3" spans="2:9">
      <c r="B3" s="689" t="s">
        <v>0</v>
      </c>
      <c r="C3" s="689"/>
      <c r="D3" s="689"/>
      <c r="E3" s="689"/>
      <c r="F3" s="689"/>
      <c r="G3" s="689"/>
      <c r="H3" s="689"/>
    </row>
    <row r="4" spans="2:9">
      <c r="B4" s="689" t="s">
        <v>1</v>
      </c>
      <c r="C4" s="689"/>
      <c r="D4" s="689"/>
      <c r="E4" s="689"/>
      <c r="F4" s="689"/>
      <c r="G4" s="689"/>
      <c r="H4" s="689"/>
    </row>
    <row r="7" spans="2:9">
      <c r="B7" s="42">
        <v>1</v>
      </c>
      <c r="C7" s="15" t="s">
        <v>2</v>
      </c>
    </row>
    <row r="8" spans="2:9">
      <c r="B8" s="659">
        <v>2</v>
      </c>
      <c r="C8" s="15" t="s">
        <v>3</v>
      </c>
    </row>
    <row r="9" spans="2:9" ht="27.75" customHeight="1">
      <c r="B9" s="54">
        <v>3</v>
      </c>
      <c r="C9" s="688" t="s">
        <v>4</v>
      </c>
      <c r="D9" s="688"/>
      <c r="E9" s="688"/>
      <c r="F9" s="688"/>
      <c r="G9" s="688"/>
      <c r="H9" s="688"/>
      <c r="I9" s="688"/>
    </row>
    <row r="10" spans="2:9" ht="39" customHeight="1">
      <c r="B10" s="54">
        <v>4</v>
      </c>
      <c r="C10" s="688" t="s">
        <v>5</v>
      </c>
      <c r="D10" s="688"/>
      <c r="E10" s="688"/>
      <c r="F10" s="688"/>
      <c r="G10" s="688"/>
      <c r="H10" s="688"/>
      <c r="I10" s="688"/>
    </row>
    <row r="11" spans="2:9" ht="28.5" customHeight="1">
      <c r="B11" s="54">
        <v>5</v>
      </c>
      <c r="C11" s="688" t="s">
        <v>6</v>
      </c>
      <c r="D11" s="688"/>
      <c r="E11" s="688"/>
      <c r="F11" s="688"/>
      <c r="G11" s="688"/>
      <c r="H11" s="688"/>
      <c r="I11" s="688"/>
    </row>
    <row r="12" spans="2:9" ht="30" customHeight="1">
      <c r="B12" s="54">
        <v>6</v>
      </c>
      <c r="C12" s="688" t="s">
        <v>7</v>
      </c>
      <c r="D12" s="688"/>
      <c r="E12" s="688"/>
      <c r="F12" s="688"/>
      <c r="G12" s="688"/>
      <c r="H12" s="688"/>
      <c r="I12" s="688"/>
    </row>
    <row r="13" spans="2:9" ht="27" customHeight="1">
      <c r="B13" s="54">
        <v>7</v>
      </c>
      <c r="C13" s="688" t="s">
        <v>8</v>
      </c>
      <c r="D13" s="688"/>
      <c r="E13" s="688"/>
      <c r="F13" s="688"/>
      <c r="G13" s="688"/>
      <c r="H13" s="688"/>
      <c r="I13" s="688"/>
    </row>
    <row r="14" spans="2:9" ht="40.5" customHeight="1">
      <c r="B14" s="54">
        <v>8</v>
      </c>
      <c r="C14" s="688" t="s">
        <v>9</v>
      </c>
      <c r="D14" s="688"/>
      <c r="E14" s="688"/>
      <c r="F14" s="688"/>
      <c r="G14" s="688"/>
      <c r="H14" s="688"/>
      <c r="I14" s="688"/>
    </row>
    <row r="15" spans="2:9" ht="27" customHeight="1">
      <c r="B15" s="54">
        <v>9</v>
      </c>
      <c r="C15" s="688" t="s">
        <v>10</v>
      </c>
      <c r="D15" s="688"/>
      <c r="E15" s="688"/>
      <c r="F15" s="688"/>
      <c r="G15" s="688"/>
      <c r="H15" s="688"/>
      <c r="I15" s="688"/>
    </row>
    <row r="16" spans="2:9">
      <c r="B16" s="54">
        <v>10</v>
      </c>
      <c r="C16" s="688" t="s">
        <v>11</v>
      </c>
      <c r="D16" s="688"/>
      <c r="E16" s="688"/>
      <c r="F16" s="688"/>
      <c r="G16" s="688"/>
      <c r="H16" s="688"/>
      <c r="I16" s="688"/>
    </row>
    <row r="17" spans="2:9" ht="39" customHeight="1">
      <c r="B17" s="54">
        <v>11</v>
      </c>
      <c r="C17" s="688" t="s">
        <v>12</v>
      </c>
      <c r="D17" s="688"/>
      <c r="E17" s="688"/>
      <c r="F17" s="688"/>
      <c r="G17" s="688"/>
      <c r="H17" s="688"/>
      <c r="I17" s="688"/>
    </row>
    <row r="18" spans="2:9" ht="43.5" customHeight="1">
      <c r="B18" s="54">
        <v>12</v>
      </c>
      <c r="C18" s="688" t="s">
        <v>13</v>
      </c>
      <c r="D18" s="688"/>
      <c r="E18" s="688"/>
      <c r="F18" s="688"/>
      <c r="G18" s="688"/>
      <c r="H18" s="688"/>
      <c r="I18" s="688"/>
    </row>
    <row r="19" spans="2:9">
      <c r="B19" s="54">
        <v>13</v>
      </c>
      <c r="C19" s="688" t="s">
        <v>14</v>
      </c>
      <c r="D19" s="688"/>
      <c r="E19" s="688"/>
      <c r="F19" s="688"/>
      <c r="G19" s="688"/>
      <c r="H19" s="688"/>
      <c r="I19" s="688"/>
    </row>
    <row r="20" spans="2:9" ht="28.5" customHeight="1">
      <c r="B20" s="54">
        <v>14</v>
      </c>
      <c r="C20" s="688" t="s">
        <v>15</v>
      </c>
      <c r="D20" s="688"/>
      <c r="E20" s="688"/>
      <c r="F20" s="688"/>
      <c r="G20" s="688"/>
      <c r="H20" s="688"/>
      <c r="I20" s="688"/>
    </row>
    <row r="21" spans="2:9">
      <c r="B21" s="54">
        <v>15</v>
      </c>
      <c r="C21" s="688" t="s">
        <v>16</v>
      </c>
      <c r="D21" s="688"/>
      <c r="E21" s="688"/>
      <c r="F21" s="688"/>
      <c r="G21" s="688"/>
      <c r="H21" s="688"/>
      <c r="I21" s="688"/>
    </row>
    <row r="22" spans="2:9">
      <c r="B22" s="54">
        <v>16</v>
      </c>
      <c r="C22" s="688" t="s">
        <v>17</v>
      </c>
      <c r="D22" s="688"/>
      <c r="E22" s="688"/>
      <c r="F22" s="688"/>
      <c r="G22" s="688"/>
      <c r="H22" s="688"/>
      <c r="I22" s="688"/>
    </row>
    <row r="23" spans="2:9">
      <c r="B23" s="54">
        <v>17</v>
      </c>
      <c r="C23" s="688" t="s">
        <v>18</v>
      </c>
      <c r="D23" s="688"/>
      <c r="E23" s="688"/>
      <c r="F23" s="688"/>
      <c r="G23" s="688"/>
      <c r="H23" s="688"/>
      <c r="I23" s="688"/>
    </row>
    <row r="24" spans="2:9" ht="27.75" customHeight="1">
      <c r="B24" s="54">
        <v>18</v>
      </c>
      <c r="C24" s="688" t="s">
        <v>19</v>
      </c>
      <c r="D24" s="688"/>
      <c r="E24" s="688"/>
      <c r="F24" s="688"/>
      <c r="G24" s="688"/>
      <c r="H24" s="688"/>
      <c r="I24" s="688"/>
    </row>
  </sheetData>
  <mergeCells count="18">
    <mergeCell ref="C12:I12"/>
    <mergeCell ref="C19:I19"/>
    <mergeCell ref="C20:I20"/>
    <mergeCell ref="C21:I21"/>
    <mergeCell ref="C22:I22"/>
    <mergeCell ref="C13:I13"/>
    <mergeCell ref="C14:I14"/>
    <mergeCell ref="C15:I15"/>
    <mergeCell ref="B3:H3"/>
    <mergeCell ref="B4:H4"/>
    <mergeCell ref="C9:I9"/>
    <mergeCell ref="C10:I10"/>
    <mergeCell ref="C11:I11"/>
    <mergeCell ref="C16:I16"/>
    <mergeCell ref="C17:I17"/>
    <mergeCell ref="C24:I24"/>
    <mergeCell ref="C18:I18"/>
    <mergeCell ref="C23:I2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9"/>
  <sheetViews>
    <sheetView showGridLines="0" showZeros="0" workbookViewId="0">
      <pane ySplit="5" topLeftCell="A6" activePane="bottomLeft" state="frozen"/>
      <selection pane="bottomLeft" activeCell="E10" sqref="E10:P10"/>
    </sheetView>
  </sheetViews>
  <sheetFormatPr defaultColWidth="0" defaultRowHeight="12.75" zeroHeight="1"/>
  <cols>
    <col min="1" max="1" width="19.42578125" style="100" customWidth="1"/>
    <col min="2" max="2" width="20.42578125" style="100" customWidth="1"/>
    <col min="3" max="3" width="9.140625" style="102" bestFit="1" customWidth="1"/>
    <col min="4" max="4" width="10.5703125" style="100" customWidth="1"/>
    <col min="5" max="17" width="9.5703125" style="100" customWidth="1"/>
    <col min="18" max="20" width="9.5703125" style="100" hidden="1" customWidth="1"/>
    <col min="21" max="21" width="11.5703125" style="100" hidden="1" customWidth="1"/>
    <col min="22" max="22" width="11.42578125" style="100" hidden="1" customWidth="1"/>
    <col min="23" max="23" width="0" style="100" hidden="1" customWidth="1"/>
    <col min="24" max="16384" width="0" style="100" hidden="1"/>
  </cols>
  <sheetData>
    <row r="1" spans="1:16" ht="12.75" customHeight="1">
      <c r="A1" s="837" t="s">
        <v>727</v>
      </c>
      <c r="B1" s="837"/>
      <c r="C1" s="837"/>
      <c r="K1" s="101"/>
      <c r="L1" s="101"/>
      <c r="M1" s="101"/>
      <c r="N1" s="101"/>
      <c r="O1" s="101"/>
      <c r="P1" s="128" t="s">
        <v>728</v>
      </c>
    </row>
    <row r="2" spans="1:16">
      <c r="A2" s="838" t="str">
        <f>'ТИП-ПРОИЗ'!B3</f>
        <v>"ТЕЦ Горна Оряховица" ЕАД</v>
      </c>
      <c r="B2" s="838"/>
      <c r="C2" s="838"/>
      <c r="K2" s="101"/>
      <c r="L2" s="101"/>
      <c r="M2" s="101"/>
      <c r="N2" s="101"/>
      <c r="O2" s="101"/>
      <c r="P2" s="101"/>
    </row>
    <row r="3" spans="1:16"/>
    <row r="4" spans="1:16">
      <c r="A4" s="844">
        <f>'ТИП-ПРОИЗ'!F6</f>
        <v>7.2022000000000004</v>
      </c>
      <c r="B4" s="845"/>
      <c r="C4" s="849" t="s">
        <v>668</v>
      </c>
      <c r="D4" s="680" t="s">
        <v>729</v>
      </c>
      <c r="E4" s="103">
        <f>DATE($A$4,D5,1)</f>
        <v>2739</v>
      </c>
      <c r="F4" s="103">
        <f t="shared" ref="F4:P4" si="0">DATE($A$4,$D$5+E5,1)</f>
        <v>2770</v>
      </c>
      <c r="G4" s="103">
        <f t="shared" si="0"/>
        <v>2801</v>
      </c>
      <c r="H4" s="103">
        <f t="shared" si="0"/>
        <v>2831</v>
      </c>
      <c r="I4" s="103">
        <f t="shared" si="0"/>
        <v>2862</v>
      </c>
      <c r="J4" s="103">
        <f t="shared" si="0"/>
        <v>2892</v>
      </c>
      <c r="K4" s="103">
        <f t="shared" si="0"/>
        <v>2923</v>
      </c>
      <c r="L4" s="103">
        <f t="shared" si="0"/>
        <v>2954</v>
      </c>
      <c r="M4" s="103">
        <f t="shared" si="0"/>
        <v>2983</v>
      </c>
      <c r="N4" s="103">
        <f t="shared" si="0"/>
        <v>3014</v>
      </c>
      <c r="O4" s="103">
        <f t="shared" si="0"/>
        <v>3044</v>
      </c>
      <c r="P4" s="103">
        <f t="shared" si="0"/>
        <v>3075</v>
      </c>
    </row>
    <row r="5" spans="1:16">
      <c r="A5" s="846"/>
      <c r="B5" s="847"/>
      <c r="C5" s="849"/>
      <c r="D5" s="132">
        <v>7</v>
      </c>
      <c r="E5" s="104">
        <v>1</v>
      </c>
      <c r="F5" s="104">
        <v>2</v>
      </c>
      <c r="G5" s="104">
        <v>3</v>
      </c>
      <c r="H5" s="104">
        <v>4</v>
      </c>
      <c r="I5" s="104">
        <v>5</v>
      </c>
      <c r="J5" s="104">
        <v>6</v>
      </c>
      <c r="K5" s="104">
        <v>7</v>
      </c>
      <c r="L5" s="104">
        <v>8</v>
      </c>
      <c r="M5" s="104">
        <v>9</v>
      </c>
      <c r="N5" s="104">
        <v>10</v>
      </c>
      <c r="O5" s="104">
        <v>11</v>
      </c>
      <c r="P5" s="104">
        <v>12</v>
      </c>
    </row>
    <row r="6" spans="1:16" ht="12.75" customHeight="1">
      <c r="A6" s="848" t="s">
        <v>730</v>
      </c>
      <c r="B6" s="525" t="s">
        <v>731</v>
      </c>
      <c r="C6" s="526"/>
      <c r="D6" s="107"/>
      <c r="E6" s="528" t="s">
        <v>764</v>
      </c>
      <c r="F6" s="528" t="s">
        <v>764</v>
      </c>
      <c r="G6" s="528" t="s">
        <v>769</v>
      </c>
      <c r="H6" s="528" t="s">
        <v>769</v>
      </c>
      <c r="I6" s="528" t="s">
        <v>764</v>
      </c>
      <c r="J6" s="528" t="s">
        <v>764</v>
      </c>
      <c r="K6" s="528" t="s">
        <v>764</v>
      </c>
      <c r="L6" s="528" t="s">
        <v>764</v>
      </c>
      <c r="M6" s="528" t="s">
        <v>769</v>
      </c>
      <c r="N6" s="528" t="s">
        <v>769</v>
      </c>
      <c r="O6" s="528" t="s">
        <v>769</v>
      </c>
      <c r="P6" s="528" t="s">
        <v>764</v>
      </c>
    </row>
    <row r="7" spans="1:16" ht="12.75" customHeight="1">
      <c r="A7" s="848"/>
      <c r="B7" s="525" t="s">
        <v>732</v>
      </c>
      <c r="C7" s="526"/>
      <c r="D7" s="107"/>
      <c r="E7" s="528"/>
      <c r="F7" s="528"/>
      <c r="G7" s="528" t="s">
        <v>766</v>
      </c>
      <c r="H7" s="528" t="s">
        <v>766</v>
      </c>
      <c r="I7" s="528"/>
      <c r="J7" s="528"/>
      <c r="K7" s="528"/>
      <c r="L7" s="528"/>
      <c r="M7" s="528" t="s">
        <v>766</v>
      </c>
      <c r="N7" s="528" t="s">
        <v>766</v>
      </c>
      <c r="O7" s="528" t="s">
        <v>766</v>
      </c>
      <c r="P7" s="528"/>
    </row>
    <row r="8" spans="1:16">
      <c r="A8" s="848"/>
      <c r="B8" s="527" t="s">
        <v>733</v>
      </c>
      <c r="C8" s="527"/>
      <c r="D8" s="107"/>
      <c r="E8" s="524"/>
      <c r="F8" s="524"/>
      <c r="G8" s="524"/>
      <c r="H8" s="524"/>
      <c r="I8" s="524"/>
      <c r="J8" s="524"/>
      <c r="K8" s="524"/>
      <c r="L8" s="524"/>
      <c r="M8" s="524"/>
      <c r="N8" s="524"/>
      <c r="O8" s="524"/>
      <c r="P8" s="524"/>
    </row>
    <row r="9" spans="1:16">
      <c r="A9" s="850" t="s">
        <v>734</v>
      </c>
      <c r="B9" s="105" t="s">
        <v>735</v>
      </c>
      <c r="C9" s="106" t="s">
        <v>238</v>
      </c>
      <c r="D9" s="107">
        <f>SUM(E9:P9)</f>
        <v>136129</v>
      </c>
      <c r="E9" s="107">
        <f t="shared" ref="E9:P9" si="1">SUM(E10:E11)</f>
        <v>6317</v>
      </c>
      <c r="F9" s="107">
        <f t="shared" si="1"/>
        <v>3579</v>
      </c>
      <c r="G9" s="107">
        <f t="shared" si="1"/>
        <v>20474</v>
      </c>
      <c r="H9" s="107">
        <f t="shared" si="1"/>
        <v>17949</v>
      </c>
      <c r="I9" s="107">
        <f t="shared" si="1"/>
        <v>6106</v>
      </c>
      <c r="J9" s="107">
        <f t="shared" si="1"/>
        <v>6316</v>
      </c>
      <c r="K9" s="107">
        <f t="shared" si="1"/>
        <v>6317</v>
      </c>
      <c r="L9" s="107">
        <f t="shared" si="1"/>
        <v>5685</v>
      </c>
      <c r="M9" s="107">
        <f t="shared" si="1"/>
        <v>17325</v>
      </c>
      <c r="N9" s="107">
        <f t="shared" si="1"/>
        <v>26746</v>
      </c>
      <c r="O9" s="107">
        <f t="shared" si="1"/>
        <v>13209</v>
      </c>
      <c r="P9" s="107">
        <f t="shared" si="1"/>
        <v>6106</v>
      </c>
    </row>
    <row r="10" spans="1:16">
      <c r="A10" s="851"/>
      <c r="B10" s="105" t="s">
        <v>736</v>
      </c>
      <c r="C10" s="106" t="s">
        <v>238</v>
      </c>
      <c r="D10" s="107">
        <f t="shared" ref="D10:D17" si="2">SUM(E10:P10)</f>
        <v>0</v>
      </c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</row>
    <row r="11" spans="1:16">
      <c r="A11" s="852"/>
      <c r="B11" s="105" t="s">
        <v>737</v>
      </c>
      <c r="C11" s="106" t="s">
        <v>238</v>
      </c>
      <c r="D11" s="107">
        <f t="shared" si="2"/>
        <v>136129</v>
      </c>
      <c r="E11" s="133">
        <v>6317</v>
      </c>
      <c r="F11" s="133">
        <v>3579</v>
      </c>
      <c r="G11" s="133">
        <v>20474</v>
      </c>
      <c r="H11" s="133">
        <v>17949</v>
      </c>
      <c r="I11" s="133">
        <v>6106</v>
      </c>
      <c r="J11" s="133">
        <v>6316</v>
      </c>
      <c r="K11" s="133">
        <v>6317</v>
      </c>
      <c r="L11" s="133">
        <v>5685</v>
      </c>
      <c r="M11" s="133">
        <v>17325</v>
      </c>
      <c r="N11" s="133">
        <v>26746</v>
      </c>
      <c r="O11" s="133">
        <v>13209</v>
      </c>
      <c r="P11" s="133">
        <v>6106</v>
      </c>
    </row>
    <row r="12" spans="1:16">
      <c r="A12" s="839" t="s">
        <v>738</v>
      </c>
      <c r="B12" s="105" t="s">
        <v>735</v>
      </c>
      <c r="C12" s="106" t="s">
        <v>238</v>
      </c>
      <c r="D12" s="107">
        <f t="shared" si="2"/>
        <v>0</v>
      </c>
      <c r="E12" s="107">
        <f t="shared" ref="E12:P12" si="3">SUM(E13:E14)</f>
        <v>0</v>
      </c>
      <c r="F12" s="107">
        <f t="shared" si="3"/>
        <v>0</v>
      </c>
      <c r="G12" s="107">
        <f t="shared" si="3"/>
        <v>0</v>
      </c>
      <c r="H12" s="107">
        <f t="shared" si="3"/>
        <v>0</v>
      </c>
      <c r="I12" s="107">
        <f t="shared" si="3"/>
        <v>0</v>
      </c>
      <c r="J12" s="107">
        <f t="shared" si="3"/>
        <v>0</v>
      </c>
      <c r="K12" s="107">
        <f t="shared" si="3"/>
        <v>0</v>
      </c>
      <c r="L12" s="107">
        <f t="shared" si="3"/>
        <v>0</v>
      </c>
      <c r="M12" s="107">
        <f t="shared" si="3"/>
        <v>0</v>
      </c>
      <c r="N12" s="107">
        <f t="shared" si="3"/>
        <v>0</v>
      </c>
      <c r="O12" s="107">
        <f t="shared" si="3"/>
        <v>0</v>
      </c>
      <c r="P12" s="107">
        <f t="shared" si="3"/>
        <v>0</v>
      </c>
    </row>
    <row r="13" spans="1:16">
      <c r="A13" s="840"/>
      <c r="B13" s="105" t="s">
        <v>736</v>
      </c>
      <c r="C13" s="106" t="s">
        <v>238</v>
      </c>
      <c r="D13" s="107">
        <f t="shared" si="2"/>
        <v>0</v>
      </c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</row>
    <row r="14" spans="1:16">
      <c r="A14" s="841"/>
      <c r="B14" s="105" t="s">
        <v>737</v>
      </c>
      <c r="C14" s="106" t="s">
        <v>238</v>
      </c>
      <c r="D14" s="107">
        <f t="shared" si="2"/>
        <v>0</v>
      </c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</row>
    <row r="15" spans="1:16">
      <c r="A15" s="839" t="s">
        <v>739</v>
      </c>
      <c r="B15" s="105" t="s">
        <v>735</v>
      </c>
      <c r="C15" s="106" t="s">
        <v>238</v>
      </c>
      <c r="D15" s="107">
        <f t="shared" si="2"/>
        <v>136104</v>
      </c>
      <c r="E15" s="107">
        <f t="shared" ref="E15:P15" si="4">SUM(E16:E17)</f>
        <v>6307</v>
      </c>
      <c r="F15" s="107">
        <f t="shared" si="4"/>
        <v>3569</v>
      </c>
      <c r="G15" s="107">
        <f t="shared" si="4"/>
        <v>20464</v>
      </c>
      <c r="H15" s="107">
        <f t="shared" si="4"/>
        <v>17954</v>
      </c>
      <c r="I15" s="107">
        <f t="shared" si="4"/>
        <v>6111</v>
      </c>
      <c r="J15" s="107">
        <f t="shared" si="4"/>
        <v>6321</v>
      </c>
      <c r="K15" s="107">
        <f t="shared" si="4"/>
        <v>6327</v>
      </c>
      <c r="L15" s="107">
        <f t="shared" si="4"/>
        <v>5695</v>
      </c>
      <c r="M15" s="107">
        <f t="shared" si="4"/>
        <v>17345</v>
      </c>
      <c r="N15" s="107">
        <f t="shared" si="4"/>
        <v>26756</v>
      </c>
      <c r="O15" s="107">
        <f t="shared" si="4"/>
        <v>13159</v>
      </c>
      <c r="P15" s="107">
        <f t="shared" si="4"/>
        <v>6096</v>
      </c>
    </row>
    <row r="16" spans="1:16">
      <c r="A16" s="840"/>
      <c r="B16" s="105" t="s">
        <v>736</v>
      </c>
      <c r="C16" s="106" t="s">
        <v>238</v>
      </c>
      <c r="D16" s="107">
        <f t="shared" si="2"/>
        <v>0</v>
      </c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</row>
    <row r="17" spans="1:16">
      <c r="A17" s="841"/>
      <c r="B17" s="105" t="s">
        <v>737</v>
      </c>
      <c r="C17" s="106" t="s">
        <v>238</v>
      </c>
      <c r="D17" s="107">
        <f t="shared" si="2"/>
        <v>136104</v>
      </c>
      <c r="E17" s="133">
        <v>6307</v>
      </c>
      <c r="F17" s="133">
        <v>3569</v>
      </c>
      <c r="G17" s="133">
        <v>20464</v>
      </c>
      <c r="H17" s="133">
        <v>17954</v>
      </c>
      <c r="I17" s="133">
        <v>6111</v>
      </c>
      <c r="J17" s="133">
        <v>6321</v>
      </c>
      <c r="K17" s="133">
        <v>6327</v>
      </c>
      <c r="L17" s="133">
        <v>5695</v>
      </c>
      <c r="M17" s="133">
        <v>17345</v>
      </c>
      <c r="N17" s="133">
        <v>26756</v>
      </c>
      <c r="O17" s="133">
        <v>13159</v>
      </c>
      <c r="P17" s="133">
        <v>6096</v>
      </c>
    </row>
    <row r="18" spans="1:16">
      <c r="A18" s="109"/>
      <c r="B18" s="110"/>
      <c r="C18" s="111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</row>
    <row r="19" spans="1:16">
      <c r="A19" s="105" t="s">
        <v>740</v>
      </c>
      <c r="B19" s="105" t="s">
        <v>735</v>
      </c>
      <c r="C19" s="106" t="s">
        <v>238</v>
      </c>
      <c r="D19" s="107">
        <f>SUM(E19:P19)</f>
        <v>0</v>
      </c>
      <c r="E19" s="107">
        <f t="shared" ref="E19:P19" si="5">SUM(E20:E21)</f>
        <v>0</v>
      </c>
      <c r="F19" s="107">
        <f t="shared" si="5"/>
        <v>0</v>
      </c>
      <c r="G19" s="107">
        <f t="shared" si="5"/>
        <v>0</v>
      </c>
      <c r="H19" s="107">
        <f t="shared" si="5"/>
        <v>0</v>
      </c>
      <c r="I19" s="107">
        <f t="shared" si="5"/>
        <v>0</v>
      </c>
      <c r="J19" s="107">
        <f t="shared" si="5"/>
        <v>0</v>
      </c>
      <c r="K19" s="107">
        <f t="shared" si="5"/>
        <v>0</v>
      </c>
      <c r="L19" s="107">
        <f t="shared" si="5"/>
        <v>0</v>
      </c>
      <c r="M19" s="107">
        <f t="shared" si="5"/>
        <v>0</v>
      </c>
      <c r="N19" s="107">
        <f t="shared" si="5"/>
        <v>0</v>
      </c>
      <c r="O19" s="107">
        <f t="shared" si="5"/>
        <v>0</v>
      </c>
      <c r="P19" s="107">
        <f t="shared" si="5"/>
        <v>0</v>
      </c>
    </row>
    <row r="20" spans="1:16">
      <c r="A20" s="113" t="s">
        <v>741</v>
      </c>
      <c r="B20" s="105" t="s">
        <v>736</v>
      </c>
      <c r="C20" s="106" t="s">
        <v>238</v>
      </c>
      <c r="D20" s="107">
        <f>SUM(E20:P20)</f>
        <v>0</v>
      </c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</row>
    <row r="21" spans="1:16">
      <c r="A21" s="108" t="s">
        <v>742</v>
      </c>
      <c r="B21" s="105" t="s">
        <v>737</v>
      </c>
      <c r="C21" s="106" t="s">
        <v>238</v>
      </c>
      <c r="D21" s="107">
        <f>SUM(E21:P21)</f>
        <v>0</v>
      </c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</row>
    <row r="22" spans="1:16">
      <c r="A22" s="105" t="s">
        <v>541</v>
      </c>
      <c r="B22" s="105" t="s">
        <v>743</v>
      </c>
      <c r="C22" s="680" t="s">
        <v>208</v>
      </c>
      <c r="D22" s="490">
        <f t="shared" ref="D22:P22" si="6">IF(D23=0,0,D19/D23)</f>
        <v>0</v>
      </c>
      <c r="E22" s="490">
        <f t="shared" si="6"/>
        <v>0</v>
      </c>
      <c r="F22" s="490">
        <f t="shared" si="6"/>
        <v>0</v>
      </c>
      <c r="G22" s="490">
        <f t="shared" si="6"/>
        <v>0</v>
      </c>
      <c r="H22" s="490">
        <f t="shared" si="6"/>
        <v>0</v>
      </c>
      <c r="I22" s="490">
        <f t="shared" si="6"/>
        <v>0</v>
      </c>
      <c r="J22" s="490">
        <f t="shared" si="6"/>
        <v>0</v>
      </c>
      <c r="K22" s="490">
        <f t="shared" si="6"/>
        <v>0</v>
      </c>
      <c r="L22" s="490">
        <f t="shared" si="6"/>
        <v>0</v>
      </c>
      <c r="M22" s="490">
        <f t="shared" si="6"/>
        <v>0</v>
      </c>
      <c r="N22" s="490">
        <f t="shared" si="6"/>
        <v>0</v>
      </c>
      <c r="O22" s="490">
        <f t="shared" si="6"/>
        <v>0</v>
      </c>
      <c r="P22" s="490">
        <f t="shared" si="6"/>
        <v>0</v>
      </c>
    </row>
    <row r="23" spans="1:16">
      <c r="A23" s="842" t="s">
        <v>744</v>
      </c>
      <c r="B23" s="114" t="s">
        <v>745</v>
      </c>
      <c r="C23" s="106" t="s">
        <v>238</v>
      </c>
      <c r="D23" s="107">
        <f>SUM(E23:P23)</f>
        <v>0</v>
      </c>
      <c r="E23" s="115">
        <f>SUMPRODUCT($B$25:$B$26,E25:E26)/860</f>
        <v>0</v>
      </c>
      <c r="F23" s="115">
        <f t="shared" ref="F23:P23" si="7">SUMPRODUCT($B$25:$B$26,F25:F26)/860</f>
        <v>0</v>
      </c>
      <c r="G23" s="115">
        <f t="shared" si="7"/>
        <v>0</v>
      </c>
      <c r="H23" s="115">
        <f t="shared" si="7"/>
        <v>0</v>
      </c>
      <c r="I23" s="115">
        <f t="shared" si="7"/>
        <v>0</v>
      </c>
      <c r="J23" s="115">
        <f t="shared" si="7"/>
        <v>0</v>
      </c>
      <c r="K23" s="115">
        <f t="shared" si="7"/>
        <v>0</v>
      </c>
      <c r="L23" s="115">
        <f t="shared" si="7"/>
        <v>0</v>
      </c>
      <c r="M23" s="115">
        <f t="shared" si="7"/>
        <v>0</v>
      </c>
      <c r="N23" s="115">
        <f t="shared" si="7"/>
        <v>0</v>
      </c>
      <c r="O23" s="115">
        <f t="shared" si="7"/>
        <v>0</v>
      </c>
      <c r="P23" s="115">
        <f t="shared" si="7"/>
        <v>0</v>
      </c>
    </row>
    <row r="24" spans="1:16" ht="14.25">
      <c r="A24" s="843"/>
      <c r="B24" s="114" t="s">
        <v>746</v>
      </c>
      <c r="C24" s="680" t="s">
        <v>747</v>
      </c>
      <c r="D24" s="107">
        <f>SUM(E24:P24)</f>
        <v>0</v>
      </c>
      <c r="E24" s="116">
        <f t="shared" ref="E24:P24" si="8">E23*0.86/7</f>
        <v>0</v>
      </c>
      <c r="F24" s="116">
        <f t="shared" si="8"/>
        <v>0</v>
      </c>
      <c r="G24" s="116">
        <f t="shared" si="8"/>
        <v>0</v>
      </c>
      <c r="H24" s="116">
        <f t="shared" si="8"/>
        <v>0</v>
      </c>
      <c r="I24" s="116">
        <f t="shared" si="8"/>
        <v>0</v>
      </c>
      <c r="J24" s="116">
        <f t="shared" si="8"/>
        <v>0</v>
      </c>
      <c r="K24" s="116">
        <f t="shared" si="8"/>
        <v>0</v>
      </c>
      <c r="L24" s="116">
        <f t="shared" si="8"/>
        <v>0</v>
      </c>
      <c r="M24" s="116">
        <f t="shared" si="8"/>
        <v>0</v>
      </c>
      <c r="N24" s="116">
        <f t="shared" si="8"/>
        <v>0</v>
      </c>
      <c r="O24" s="116">
        <f t="shared" si="8"/>
        <v>0</v>
      </c>
      <c r="P24" s="116">
        <f t="shared" si="8"/>
        <v>0</v>
      </c>
    </row>
    <row r="25" spans="1:16" ht="15.75">
      <c r="A25" s="113" t="s">
        <v>748</v>
      </c>
      <c r="B25" s="647">
        <v>8000</v>
      </c>
      <c r="C25" s="648" t="s">
        <v>279</v>
      </c>
      <c r="D25" s="107">
        <f>SUM(E25:P25)</f>
        <v>0</v>
      </c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</row>
    <row r="26" spans="1:16" ht="15.75">
      <c r="A26" s="108" t="s">
        <v>749</v>
      </c>
      <c r="B26" s="647">
        <v>8000</v>
      </c>
      <c r="C26" s="648" t="s">
        <v>279</v>
      </c>
      <c r="D26" s="107">
        <f>SUM(E26:P26)</f>
        <v>0</v>
      </c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</row>
    <row r="27" spans="1:16" s="117" customFormat="1" ht="11.25" customHeight="1"/>
    <row r="28" spans="1:16">
      <c r="A28" s="118" t="s">
        <v>750</v>
      </c>
      <c r="B28" s="114" t="s">
        <v>745</v>
      </c>
      <c r="C28" s="106" t="s">
        <v>238</v>
      </c>
      <c r="D28" s="107">
        <f t="shared" ref="D28:D34" si="9">SUM(E28:P28)</f>
        <v>195564.49302325578</v>
      </c>
      <c r="E28" s="115">
        <f>SUMPRODUCT($A$30:$A$34,E30:E34)/860</f>
        <v>10098.558139534884</v>
      </c>
      <c r="F28" s="115">
        <f t="shared" ref="F28:P28" si="10">SUMPRODUCT($A$30:$A$34,F30:F34)/860</f>
        <v>5755.4046511627903</v>
      </c>
      <c r="G28" s="115">
        <f t="shared" si="10"/>
        <v>27794.902325581395</v>
      </c>
      <c r="H28" s="115">
        <f t="shared" si="10"/>
        <v>24689.73023255814</v>
      </c>
      <c r="I28" s="115">
        <f t="shared" si="10"/>
        <v>9766.5488372093023</v>
      </c>
      <c r="J28" s="115">
        <f t="shared" si="10"/>
        <v>10117.39534883721</v>
      </c>
      <c r="K28" s="115">
        <f t="shared" si="10"/>
        <v>10117.39534883721</v>
      </c>
      <c r="L28" s="115">
        <f t="shared" si="10"/>
        <v>9115.3116279069764</v>
      </c>
      <c r="M28" s="115">
        <f t="shared" si="10"/>
        <v>23903.190697674418</v>
      </c>
      <c r="N28" s="115">
        <f t="shared" si="10"/>
        <v>35675.358139534881</v>
      </c>
      <c r="O28" s="115">
        <f t="shared" si="10"/>
        <v>18764.148837209301</v>
      </c>
      <c r="P28" s="115">
        <f t="shared" si="10"/>
        <v>9766.5488372093023</v>
      </c>
    </row>
    <row r="29" spans="1:16" ht="14.25">
      <c r="A29" s="119"/>
      <c r="B29" s="114" t="s">
        <v>746</v>
      </c>
      <c r="C29" s="680" t="s">
        <v>747</v>
      </c>
      <c r="D29" s="107">
        <f t="shared" si="9"/>
        <v>24026.494857142854</v>
      </c>
      <c r="E29" s="116">
        <f t="shared" ref="E29:P29" si="11">E28*0.86/7</f>
        <v>1240.68</v>
      </c>
      <c r="F29" s="116">
        <f t="shared" si="11"/>
        <v>707.09257142857132</v>
      </c>
      <c r="G29" s="116">
        <f t="shared" si="11"/>
        <v>3414.8022857142855</v>
      </c>
      <c r="H29" s="116">
        <f t="shared" si="11"/>
        <v>3033.3097142857146</v>
      </c>
      <c r="I29" s="116">
        <f t="shared" si="11"/>
        <v>1199.8902857142857</v>
      </c>
      <c r="J29" s="116">
        <f t="shared" si="11"/>
        <v>1242.9942857142858</v>
      </c>
      <c r="K29" s="116">
        <f t="shared" si="11"/>
        <v>1242.9942857142858</v>
      </c>
      <c r="L29" s="116">
        <f t="shared" si="11"/>
        <v>1119.8811428571428</v>
      </c>
      <c r="M29" s="116">
        <f t="shared" si="11"/>
        <v>2936.677714285714</v>
      </c>
      <c r="N29" s="116">
        <f t="shared" si="11"/>
        <v>4382.9725714285714</v>
      </c>
      <c r="O29" s="116">
        <f t="shared" si="11"/>
        <v>2305.3097142857141</v>
      </c>
      <c r="P29" s="116">
        <f t="shared" si="11"/>
        <v>1199.8902857142857</v>
      </c>
    </row>
    <row r="30" spans="1:16" ht="15.75">
      <c r="A30" s="134">
        <v>8100</v>
      </c>
      <c r="B30" s="114" t="s">
        <v>124</v>
      </c>
      <c r="C30" s="680" t="s">
        <v>279</v>
      </c>
      <c r="D30" s="107">
        <f t="shared" si="9"/>
        <v>106</v>
      </c>
      <c r="E30" s="133">
        <v>8</v>
      </c>
      <c r="F30" s="133">
        <v>8</v>
      </c>
      <c r="G30" s="133">
        <v>8</v>
      </c>
      <c r="H30" s="133">
        <v>8</v>
      </c>
      <c r="I30" s="133">
        <v>8</v>
      </c>
      <c r="J30" s="133">
        <v>10</v>
      </c>
      <c r="K30" s="133">
        <v>10</v>
      </c>
      <c r="L30" s="133">
        <v>10</v>
      </c>
      <c r="M30" s="133">
        <v>8</v>
      </c>
      <c r="N30" s="133">
        <v>10</v>
      </c>
      <c r="O30" s="133">
        <v>10</v>
      </c>
      <c r="P30" s="133">
        <v>8</v>
      </c>
    </row>
    <row r="31" spans="1:16">
      <c r="A31" s="71">
        <v>9500</v>
      </c>
      <c r="B31" s="114" t="s">
        <v>126</v>
      </c>
      <c r="C31" s="680" t="s">
        <v>282</v>
      </c>
      <c r="D31" s="107">
        <f t="shared" si="9"/>
        <v>0</v>
      </c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</row>
    <row r="32" spans="1:16">
      <c r="A32" s="71">
        <v>10500</v>
      </c>
      <c r="B32" s="114" t="s">
        <v>128</v>
      </c>
      <c r="C32" s="680" t="s">
        <v>282</v>
      </c>
      <c r="D32" s="107">
        <f t="shared" si="9"/>
        <v>0</v>
      </c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</row>
    <row r="33" spans="1:16">
      <c r="A33" s="71">
        <v>5208</v>
      </c>
      <c r="B33" s="114" t="s">
        <v>130</v>
      </c>
      <c r="C33" s="680" t="s">
        <v>282</v>
      </c>
      <c r="D33" s="107">
        <f t="shared" si="9"/>
        <v>24658</v>
      </c>
      <c r="E33" s="133">
        <v>1245</v>
      </c>
      <c r="F33" s="133">
        <v>706</v>
      </c>
      <c r="G33" s="133">
        <v>3552</v>
      </c>
      <c r="H33" s="133">
        <v>3146</v>
      </c>
      <c r="I33" s="133">
        <v>1204</v>
      </c>
      <c r="J33" s="133">
        <v>1245</v>
      </c>
      <c r="K33" s="133">
        <v>1245</v>
      </c>
      <c r="L33" s="133">
        <v>1121</v>
      </c>
      <c r="M33" s="133">
        <v>3043</v>
      </c>
      <c r="N33" s="133">
        <v>4576</v>
      </c>
      <c r="O33" s="133">
        <v>2371</v>
      </c>
      <c r="P33" s="133">
        <v>1204</v>
      </c>
    </row>
    <row r="34" spans="1:16" ht="15.75">
      <c r="A34" s="72">
        <v>4000</v>
      </c>
      <c r="B34" s="114" t="s">
        <v>751</v>
      </c>
      <c r="C34" s="680" t="s">
        <v>752</v>
      </c>
      <c r="D34" s="107">
        <f t="shared" si="9"/>
        <v>9727</v>
      </c>
      <c r="E34" s="133">
        <v>534</v>
      </c>
      <c r="F34" s="133">
        <v>302</v>
      </c>
      <c r="G34" s="133">
        <v>1335</v>
      </c>
      <c r="H34" s="133">
        <v>1196</v>
      </c>
      <c r="I34" s="133">
        <v>516</v>
      </c>
      <c r="J34" s="133">
        <v>534</v>
      </c>
      <c r="K34" s="133">
        <v>534</v>
      </c>
      <c r="L34" s="133">
        <v>480</v>
      </c>
      <c r="M34" s="133">
        <v>1161</v>
      </c>
      <c r="N34" s="133">
        <v>1692</v>
      </c>
      <c r="O34" s="133">
        <v>927</v>
      </c>
      <c r="P34" s="133">
        <v>516</v>
      </c>
    </row>
    <row r="35" spans="1:16" s="117" customFormat="1"/>
    <row r="36" spans="1:16">
      <c r="A36" s="120" t="s">
        <v>753</v>
      </c>
      <c r="B36" s="121" t="s">
        <v>754</v>
      </c>
      <c r="C36" s="106" t="s">
        <v>238</v>
      </c>
      <c r="D36" s="107">
        <f>SUM(E36:P36)</f>
        <v>8348</v>
      </c>
      <c r="E36" s="133"/>
      <c r="F36" s="133"/>
      <c r="G36" s="133">
        <v>1865</v>
      </c>
      <c r="H36" s="133">
        <v>1510</v>
      </c>
      <c r="I36" s="133"/>
      <c r="J36" s="133"/>
      <c r="K36" s="133"/>
      <c r="L36" s="133"/>
      <c r="M36" s="133">
        <v>1421</v>
      </c>
      <c r="N36" s="133">
        <v>2664</v>
      </c>
      <c r="O36" s="133">
        <v>888</v>
      </c>
      <c r="P36" s="133"/>
    </row>
    <row r="37" spans="1:16">
      <c r="A37" s="120" t="s">
        <v>755</v>
      </c>
      <c r="B37" s="121"/>
      <c r="C37" s="106" t="s">
        <v>238</v>
      </c>
      <c r="D37" s="107">
        <f>SUM(E37:P37)</f>
        <v>8348</v>
      </c>
      <c r="E37" s="133"/>
      <c r="F37" s="133"/>
      <c r="G37" s="133">
        <v>1865</v>
      </c>
      <c r="H37" s="133">
        <v>1510</v>
      </c>
      <c r="I37" s="133"/>
      <c r="J37" s="133"/>
      <c r="K37" s="133"/>
      <c r="L37" s="133"/>
      <c r="M37" s="133">
        <v>1421</v>
      </c>
      <c r="N37" s="133">
        <v>2664</v>
      </c>
      <c r="O37" s="133">
        <v>888</v>
      </c>
      <c r="P37" s="133"/>
    </row>
    <row r="38" spans="1:16">
      <c r="A38" s="120" t="s">
        <v>756</v>
      </c>
      <c r="B38" s="121"/>
      <c r="C38" s="106" t="s">
        <v>238</v>
      </c>
      <c r="D38" s="107">
        <f>SUM(E38:P38)</f>
        <v>0</v>
      </c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</row>
    <row r="39" spans="1:16">
      <c r="A39" s="836" t="s">
        <v>331</v>
      </c>
      <c r="B39" s="122"/>
      <c r="C39" s="106" t="s">
        <v>238</v>
      </c>
      <c r="D39" s="107">
        <f>SUM(E39:P39)</f>
        <v>1880</v>
      </c>
      <c r="E39" s="133"/>
      <c r="F39" s="133"/>
      <c r="G39" s="133">
        <v>420</v>
      </c>
      <c r="H39" s="133">
        <v>340</v>
      </c>
      <c r="I39" s="133"/>
      <c r="J39" s="133"/>
      <c r="K39" s="133"/>
      <c r="L39" s="133"/>
      <c r="M39" s="133">
        <v>320</v>
      </c>
      <c r="N39" s="133">
        <v>600</v>
      </c>
      <c r="O39" s="133">
        <v>200</v>
      </c>
      <c r="P39" s="133"/>
    </row>
    <row r="40" spans="1:16">
      <c r="A40" s="836"/>
      <c r="B40" s="122"/>
      <c r="C40" s="680" t="s">
        <v>208</v>
      </c>
      <c r="D40" s="123">
        <f t="shared" ref="D40:P40" si="12">IF(D36=0,0,D39/D36)</f>
        <v>0.2252036415908002</v>
      </c>
      <c r="E40" s="123">
        <f t="shared" si="12"/>
        <v>0</v>
      </c>
      <c r="F40" s="123">
        <f t="shared" si="12"/>
        <v>0</v>
      </c>
      <c r="G40" s="123">
        <f t="shared" si="12"/>
        <v>0.22520107238605899</v>
      </c>
      <c r="H40" s="123">
        <f t="shared" si="12"/>
        <v>0.2251655629139073</v>
      </c>
      <c r="I40" s="123">
        <f t="shared" si="12"/>
        <v>0</v>
      </c>
      <c r="J40" s="123">
        <f t="shared" si="12"/>
        <v>0</v>
      </c>
      <c r="K40" s="123">
        <f t="shared" si="12"/>
        <v>0</v>
      </c>
      <c r="L40" s="123">
        <f t="shared" si="12"/>
        <v>0</v>
      </c>
      <c r="M40" s="123">
        <f t="shared" si="12"/>
        <v>0.22519352568613651</v>
      </c>
      <c r="N40" s="123">
        <f t="shared" si="12"/>
        <v>0.22522522522522523</v>
      </c>
      <c r="O40" s="123">
        <f t="shared" si="12"/>
        <v>0.22522522522522523</v>
      </c>
      <c r="P40" s="123">
        <f t="shared" si="12"/>
        <v>0</v>
      </c>
    </row>
    <row r="41" spans="1:16" ht="20.25">
      <c r="A41" s="835" t="s">
        <v>757</v>
      </c>
      <c r="B41" s="124" t="s">
        <v>735</v>
      </c>
      <c r="C41" s="106" t="s">
        <v>238</v>
      </c>
      <c r="D41" s="125">
        <f t="shared" ref="D41:D46" si="13">SUM(E41:P41)</f>
        <v>6468</v>
      </c>
      <c r="E41" s="107">
        <f t="shared" ref="E41:P41" si="14">SUM(E36,-E39)</f>
        <v>0</v>
      </c>
      <c r="F41" s="107">
        <f t="shared" si="14"/>
        <v>0</v>
      </c>
      <c r="G41" s="107">
        <f t="shared" si="14"/>
        <v>1445</v>
      </c>
      <c r="H41" s="107">
        <f t="shared" si="14"/>
        <v>1170</v>
      </c>
      <c r="I41" s="107">
        <f t="shared" si="14"/>
        <v>0</v>
      </c>
      <c r="J41" s="107">
        <f t="shared" si="14"/>
        <v>0</v>
      </c>
      <c r="K41" s="107">
        <f t="shared" si="14"/>
        <v>0</v>
      </c>
      <c r="L41" s="107">
        <f t="shared" si="14"/>
        <v>0</v>
      </c>
      <c r="M41" s="107">
        <f t="shared" si="14"/>
        <v>1101</v>
      </c>
      <c r="N41" s="107">
        <f t="shared" si="14"/>
        <v>2064</v>
      </c>
      <c r="O41" s="107">
        <f t="shared" si="14"/>
        <v>688</v>
      </c>
      <c r="P41" s="107">
        <f t="shared" si="14"/>
        <v>0</v>
      </c>
    </row>
    <row r="42" spans="1:16">
      <c r="A42" s="835"/>
      <c r="B42" s="121" t="s">
        <v>758</v>
      </c>
      <c r="C42" s="106" t="s">
        <v>238</v>
      </c>
      <c r="D42" s="107">
        <f t="shared" si="13"/>
        <v>0</v>
      </c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</row>
    <row r="43" spans="1:16">
      <c r="A43" s="835"/>
      <c r="B43" s="121" t="s">
        <v>759</v>
      </c>
      <c r="C43" s="106" t="s">
        <v>238</v>
      </c>
      <c r="D43" s="125">
        <f t="shared" si="13"/>
        <v>6468</v>
      </c>
      <c r="E43" s="116">
        <f>SUM(E41,-E42)</f>
        <v>0</v>
      </c>
      <c r="F43" s="116">
        <f t="shared" ref="F43:P43" si="15">SUM(F41,-F42)</f>
        <v>0</v>
      </c>
      <c r="G43" s="116">
        <f t="shared" si="15"/>
        <v>1445</v>
      </c>
      <c r="H43" s="116">
        <f t="shared" si="15"/>
        <v>1170</v>
      </c>
      <c r="I43" s="116">
        <f t="shared" si="15"/>
        <v>0</v>
      </c>
      <c r="J43" s="116">
        <f t="shared" si="15"/>
        <v>0</v>
      </c>
      <c r="K43" s="116">
        <f t="shared" si="15"/>
        <v>0</v>
      </c>
      <c r="L43" s="116">
        <f t="shared" si="15"/>
        <v>0</v>
      </c>
      <c r="M43" s="116">
        <f t="shared" si="15"/>
        <v>1101</v>
      </c>
      <c r="N43" s="116">
        <f t="shared" si="15"/>
        <v>2064</v>
      </c>
      <c r="O43" s="116">
        <f t="shared" si="15"/>
        <v>688</v>
      </c>
      <c r="P43" s="116">
        <f t="shared" si="15"/>
        <v>0</v>
      </c>
    </row>
    <row r="44" spans="1:16">
      <c r="A44" s="835" t="s">
        <v>760</v>
      </c>
      <c r="B44" s="126" t="s">
        <v>761</v>
      </c>
      <c r="C44" s="106" t="s">
        <v>238</v>
      </c>
      <c r="D44" s="107">
        <f t="shared" si="13"/>
        <v>0</v>
      </c>
      <c r="E44" s="107">
        <f>SUM(E43,-E45,-E46)</f>
        <v>0</v>
      </c>
      <c r="F44" s="107">
        <f t="shared" ref="F44:P44" si="16">SUM(F43,-F45,-F46)</f>
        <v>0</v>
      </c>
      <c r="G44" s="107">
        <f t="shared" si="16"/>
        <v>0</v>
      </c>
      <c r="H44" s="107">
        <f t="shared" si="16"/>
        <v>0</v>
      </c>
      <c r="I44" s="107">
        <f t="shared" si="16"/>
        <v>0</v>
      </c>
      <c r="J44" s="107">
        <f t="shared" si="16"/>
        <v>0</v>
      </c>
      <c r="K44" s="107">
        <f t="shared" si="16"/>
        <v>0</v>
      </c>
      <c r="L44" s="107">
        <f t="shared" si="16"/>
        <v>0</v>
      </c>
      <c r="M44" s="107">
        <f t="shared" si="16"/>
        <v>0</v>
      </c>
      <c r="N44" s="107">
        <f t="shared" si="16"/>
        <v>0</v>
      </c>
      <c r="O44" s="107">
        <f t="shared" si="16"/>
        <v>0</v>
      </c>
      <c r="P44" s="107">
        <f t="shared" si="16"/>
        <v>0</v>
      </c>
    </row>
    <row r="45" spans="1:16">
      <c r="A45" s="835"/>
      <c r="B45" s="126" t="s">
        <v>762</v>
      </c>
      <c r="C45" s="106" t="s">
        <v>238</v>
      </c>
      <c r="D45" s="107">
        <f t="shared" si="13"/>
        <v>1000</v>
      </c>
      <c r="E45" s="133"/>
      <c r="F45" s="133"/>
      <c r="G45" s="133">
        <v>200</v>
      </c>
      <c r="H45" s="133">
        <v>100</v>
      </c>
      <c r="I45" s="133"/>
      <c r="J45" s="133"/>
      <c r="K45" s="133"/>
      <c r="L45" s="133"/>
      <c r="M45" s="133">
        <v>100</v>
      </c>
      <c r="N45" s="133">
        <v>500</v>
      </c>
      <c r="O45" s="133">
        <v>100</v>
      </c>
      <c r="P45" s="133"/>
    </row>
    <row r="46" spans="1:16">
      <c r="A46" s="835"/>
      <c r="B46" s="126" t="s">
        <v>770</v>
      </c>
      <c r="C46" s="106" t="s">
        <v>238</v>
      </c>
      <c r="D46" s="107">
        <f t="shared" si="13"/>
        <v>5468</v>
      </c>
      <c r="E46" s="133"/>
      <c r="F46" s="133"/>
      <c r="G46" s="133">
        <v>1245</v>
      </c>
      <c r="H46" s="133">
        <v>1070</v>
      </c>
      <c r="I46" s="133"/>
      <c r="J46" s="133"/>
      <c r="K46" s="133"/>
      <c r="L46" s="133"/>
      <c r="M46" s="133">
        <v>1001</v>
      </c>
      <c r="N46" s="133">
        <v>1564</v>
      </c>
      <c r="O46" s="133">
        <v>588</v>
      </c>
      <c r="P46" s="133"/>
    </row>
    <row r="47" spans="1:16">
      <c r="A47" s="834" t="s">
        <v>763</v>
      </c>
      <c r="B47" s="198" t="s">
        <v>736</v>
      </c>
      <c r="C47" s="106" t="s">
        <v>415</v>
      </c>
      <c r="D47" s="114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</row>
    <row r="48" spans="1:16">
      <c r="A48" s="834"/>
      <c r="B48" s="635" t="s">
        <v>737</v>
      </c>
      <c r="C48" s="106" t="s">
        <v>415</v>
      </c>
      <c r="D48" s="105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</row>
    <row r="49" spans="1:16">
      <c r="A49" s="225"/>
      <c r="B49" s="636"/>
      <c r="C49" s="111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</row>
    <row r="50" spans="1:16">
      <c r="A50" s="225"/>
      <c r="B50" s="636"/>
      <c r="C50" s="111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</row>
    <row r="51" spans="1:16">
      <c r="B51" s="128" t="str">
        <f>'[1]Разходи-Произв.'!$A$79</f>
        <v>Гл. счетоводител:</v>
      </c>
      <c r="C51" s="100"/>
      <c r="G51" s="129" t="str">
        <f>'[1]Разходи-Произв.'!$E$79</f>
        <v>Изп. директор:</v>
      </c>
      <c r="I51" s="130"/>
      <c r="J51" s="130"/>
    </row>
    <row r="52" spans="1:16">
      <c r="A52" s="127"/>
      <c r="C52" s="667" t="str">
        <f>Разходи!$B$93</f>
        <v>/ Росен Иванов /</v>
      </c>
      <c r="G52" s="130"/>
      <c r="H52" s="131" t="str">
        <f>Разходи!$F$93</f>
        <v>/ Анатолий Ботов/</v>
      </c>
      <c r="I52" s="131"/>
      <c r="J52" s="131"/>
    </row>
    <row r="53" spans="1:16">
      <c r="A53" s="127"/>
      <c r="B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</row>
    <row r="54" spans="1:16" hidden="1">
      <c r="A54" s="127"/>
      <c r="B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</row>
    <row r="55" spans="1:16" hidden="1">
      <c r="A55" s="127"/>
      <c r="B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</row>
    <row r="56" spans="1:16" hidden="1">
      <c r="A56" s="127"/>
      <c r="B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</row>
    <row r="57" spans="1:16" hidden="1">
      <c r="A57" s="127"/>
      <c r="B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</row>
    <row r="58" spans="1:16" hidden="1">
      <c r="A58" s="127"/>
      <c r="B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</row>
    <row r="59" spans="1:16" hidden="1">
      <c r="A59" s="127"/>
      <c r="B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</row>
    <row r="60" spans="1:16" hidden="1">
      <c r="A60" s="127"/>
      <c r="B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</row>
    <row r="61" spans="1:16" hidden="1">
      <c r="A61" s="127"/>
      <c r="B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</row>
    <row r="62" spans="1:16" hidden="1">
      <c r="A62" s="127"/>
      <c r="B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</row>
    <row r="63" spans="1:16" hidden="1">
      <c r="A63" s="127"/>
      <c r="B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</row>
    <row r="64" spans="1:16" hidden="1">
      <c r="A64" s="127"/>
      <c r="B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</row>
    <row r="65" spans="1:16" hidden="1">
      <c r="A65" s="127"/>
      <c r="B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</row>
    <row r="66" spans="1:16" hidden="1">
      <c r="A66" s="127"/>
      <c r="B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</row>
    <row r="67" spans="1:16" hidden="1">
      <c r="A67" s="127"/>
      <c r="B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</row>
    <row r="68" spans="1:16" hidden="1">
      <c r="A68" s="127"/>
      <c r="B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</row>
    <row r="69" spans="1:16" hidden="1">
      <c r="A69" s="127"/>
      <c r="B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</row>
    <row r="70" spans="1:16" hidden="1">
      <c r="A70" s="127"/>
      <c r="B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</row>
    <row r="71" spans="1:16" hidden="1">
      <c r="A71" s="127"/>
      <c r="B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</row>
    <row r="72" spans="1:16" hidden="1">
      <c r="A72" s="127"/>
      <c r="B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</row>
    <row r="73" spans="1:16" hidden="1">
      <c r="A73" s="127"/>
      <c r="B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</row>
    <row r="74" spans="1:16" hidden="1">
      <c r="A74" s="127"/>
      <c r="B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</row>
    <row r="75" spans="1:16" hidden="1">
      <c r="A75" s="127"/>
      <c r="B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</row>
    <row r="76" spans="1:16" hidden="1">
      <c r="A76" s="127"/>
      <c r="B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</row>
    <row r="77" spans="1:16" hidden="1">
      <c r="A77" s="127"/>
      <c r="B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</row>
    <row r="78" spans="1:16" hidden="1">
      <c r="A78" s="127"/>
      <c r="B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</row>
    <row r="79" spans="1:16" hidden="1">
      <c r="A79" s="127"/>
      <c r="B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</row>
    <row r="80" spans="1:16" hidden="1">
      <c r="A80" s="127"/>
      <c r="B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7"/>
    </row>
    <row r="81" spans="1:16" hidden="1">
      <c r="A81" s="127"/>
      <c r="B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7"/>
    </row>
    <row r="82" spans="1:16" hidden="1">
      <c r="A82" s="127"/>
      <c r="B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</row>
    <row r="83" spans="1:16" hidden="1">
      <c r="A83" s="127"/>
      <c r="B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</row>
    <row r="84" spans="1:16" hidden="1">
      <c r="A84" s="127"/>
      <c r="B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</row>
    <row r="85" spans="1:16" hidden="1">
      <c r="A85" s="127"/>
      <c r="B85" s="127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</row>
    <row r="86" spans="1:16" hidden="1">
      <c r="A86" s="127"/>
      <c r="B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</row>
    <row r="87" spans="1:16" hidden="1">
      <c r="A87" s="127"/>
      <c r="B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7"/>
    </row>
    <row r="88" spans="1:16" hidden="1">
      <c r="A88" s="127"/>
      <c r="B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</row>
    <row r="89" spans="1:16" hidden="1">
      <c r="A89" s="127"/>
      <c r="B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</row>
    <row r="90" spans="1:16" hidden="1">
      <c r="A90" s="127"/>
      <c r="B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7"/>
    </row>
    <row r="91" spans="1:16" hidden="1">
      <c r="A91" s="127"/>
      <c r="B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</row>
    <row r="92" spans="1:16" hidden="1">
      <c r="A92" s="127"/>
      <c r="B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</row>
    <row r="93" spans="1:16" hidden="1">
      <c r="A93" s="127"/>
      <c r="B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7"/>
    </row>
    <row r="94" spans="1:16" hidden="1">
      <c r="A94" s="127"/>
      <c r="B94" s="127"/>
      <c r="D94" s="127"/>
      <c r="E94" s="127"/>
      <c r="F94" s="127"/>
      <c r="G94" s="127"/>
      <c r="H94" s="127"/>
      <c r="I94" s="127"/>
      <c r="J94" s="127"/>
      <c r="K94" s="127"/>
      <c r="L94" s="127"/>
      <c r="M94" s="127"/>
      <c r="N94" s="127"/>
      <c r="O94" s="127"/>
      <c r="P94" s="127"/>
    </row>
    <row r="95" spans="1:16" hidden="1">
      <c r="A95" s="127"/>
      <c r="B95" s="127"/>
      <c r="D95" s="127"/>
      <c r="E95" s="127"/>
      <c r="F95" s="127"/>
      <c r="G95" s="127"/>
      <c r="H95" s="127"/>
      <c r="I95" s="127"/>
      <c r="J95" s="127"/>
      <c r="K95" s="127"/>
      <c r="L95" s="127"/>
      <c r="M95" s="127"/>
      <c r="N95" s="127"/>
      <c r="O95" s="127"/>
      <c r="P95" s="127"/>
    </row>
    <row r="96" spans="1:16" hidden="1">
      <c r="A96" s="127"/>
      <c r="B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</row>
    <row r="97" spans="1:16" hidden="1">
      <c r="A97" s="127"/>
      <c r="B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</row>
    <row r="98" spans="1:16" hidden="1">
      <c r="A98" s="127"/>
      <c r="B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</row>
    <row r="99" spans="1:16" hidden="1">
      <c r="A99" s="127"/>
      <c r="B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</row>
    <row r="100" spans="1:16" hidden="1">
      <c r="A100" s="127"/>
      <c r="B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</row>
    <row r="101" spans="1:16" hidden="1">
      <c r="A101" s="127"/>
      <c r="B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</row>
    <row r="102" spans="1:16" hidden="1">
      <c r="A102" s="127"/>
      <c r="B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</row>
    <row r="103" spans="1:16" hidden="1">
      <c r="A103" s="127"/>
      <c r="B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</row>
    <row r="104" spans="1:16" hidden="1">
      <c r="A104" s="127"/>
      <c r="B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</row>
    <row r="105" spans="1:16" hidden="1">
      <c r="A105" s="127"/>
      <c r="B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</row>
    <row r="106" spans="1:16" hidden="1">
      <c r="A106" s="127"/>
      <c r="B106" s="127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</row>
    <row r="107" spans="1:16" hidden="1">
      <c r="A107" s="127"/>
      <c r="B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7"/>
    </row>
    <row r="108" spans="1:16" hidden="1">
      <c r="A108" s="127"/>
      <c r="B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</row>
    <row r="109" spans="1:16" hidden="1">
      <c r="A109" s="127"/>
      <c r="B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</row>
    <row r="110" spans="1:16" hidden="1">
      <c r="A110" s="127"/>
      <c r="B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</row>
    <row r="111" spans="1:16" hidden="1">
      <c r="A111" s="127"/>
      <c r="B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</row>
    <row r="112" spans="1:16" hidden="1">
      <c r="A112" s="127"/>
      <c r="B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</row>
    <row r="113" spans="1:16" hidden="1">
      <c r="A113" s="127"/>
      <c r="B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  <c r="P113" s="127"/>
    </row>
    <row r="114" spans="1:16" hidden="1">
      <c r="A114" s="127"/>
      <c r="B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</row>
    <row r="115" spans="1:16" hidden="1">
      <c r="A115" s="127"/>
      <c r="B115" s="127"/>
      <c r="D115" s="127"/>
      <c r="E115" s="127"/>
      <c r="F115" s="127"/>
      <c r="G115" s="127"/>
      <c r="H115" s="127"/>
      <c r="I115" s="127"/>
      <c r="J115" s="127"/>
      <c r="K115" s="127"/>
      <c r="L115" s="127"/>
      <c r="M115" s="127"/>
      <c r="N115" s="127"/>
      <c r="O115" s="127"/>
      <c r="P115" s="127"/>
    </row>
    <row r="116" spans="1:16" hidden="1">
      <c r="A116" s="127"/>
      <c r="B116" s="127"/>
      <c r="D116" s="127"/>
      <c r="E116" s="127"/>
      <c r="F116" s="127"/>
      <c r="G116" s="127"/>
      <c r="H116" s="127"/>
      <c r="I116" s="127"/>
      <c r="J116" s="127"/>
      <c r="K116" s="127"/>
      <c r="L116" s="127"/>
      <c r="M116" s="127"/>
      <c r="N116" s="127"/>
      <c r="O116" s="127"/>
      <c r="P116" s="127"/>
    </row>
    <row r="117" spans="1:16" hidden="1">
      <c r="A117" s="127"/>
      <c r="B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7"/>
    </row>
    <row r="118" spans="1:16" hidden="1">
      <c r="A118" s="127"/>
      <c r="B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7"/>
    </row>
    <row r="119" spans="1:16" hidden="1">
      <c r="A119" s="127"/>
      <c r="B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7"/>
    </row>
    <row r="120" spans="1:16" hidden="1">
      <c r="A120" s="127"/>
      <c r="B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</row>
    <row r="121" spans="1:16" hidden="1">
      <c r="A121" s="127"/>
      <c r="B121" s="127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7"/>
    </row>
    <row r="122" spans="1:16" hidden="1">
      <c r="A122" s="127"/>
      <c r="B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7"/>
    </row>
    <row r="123" spans="1:16" hidden="1">
      <c r="A123" s="127"/>
      <c r="B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7"/>
    </row>
    <row r="124" spans="1:16" hidden="1">
      <c r="A124" s="127"/>
      <c r="B124" s="127"/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</row>
    <row r="125" spans="1:16" hidden="1">
      <c r="A125" s="127"/>
      <c r="B125" s="127"/>
      <c r="D125" s="127"/>
      <c r="E125" s="127"/>
      <c r="F125" s="127"/>
      <c r="G125" s="127"/>
      <c r="H125" s="127"/>
      <c r="I125" s="127"/>
      <c r="J125" s="127"/>
      <c r="K125" s="127"/>
      <c r="L125" s="127"/>
      <c r="M125" s="127"/>
      <c r="N125" s="127"/>
      <c r="O125" s="127"/>
      <c r="P125" s="127"/>
    </row>
    <row r="126" spans="1:16" hidden="1">
      <c r="A126" s="127"/>
      <c r="B126" s="127"/>
      <c r="D126" s="127"/>
      <c r="E126" s="127"/>
      <c r="F126" s="127"/>
      <c r="G126" s="127"/>
      <c r="H126" s="127"/>
      <c r="I126" s="127"/>
      <c r="J126" s="127"/>
      <c r="K126" s="127"/>
      <c r="L126" s="127"/>
      <c r="M126" s="127"/>
      <c r="N126" s="127"/>
      <c r="O126" s="127"/>
      <c r="P126" s="127"/>
    </row>
    <row r="127" spans="1:16" hidden="1">
      <c r="A127" s="127"/>
      <c r="B127" s="127"/>
      <c r="D127" s="127"/>
      <c r="E127" s="127"/>
      <c r="F127" s="127"/>
      <c r="G127" s="127"/>
      <c r="H127" s="127"/>
      <c r="I127" s="127"/>
      <c r="J127" s="127"/>
      <c r="K127" s="127"/>
      <c r="L127" s="127"/>
      <c r="M127" s="127"/>
      <c r="N127" s="127"/>
      <c r="O127" s="127"/>
      <c r="P127" s="127"/>
    </row>
    <row r="128" spans="1:16" hidden="1">
      <c r="A128" s="127"/>
      <c r="B128" s="127"/>
      <c r="D128" s="127"/>
      <c r="E128" s="127"/>
      <c r="F128" s="127"/>
      <c r="G128" s="127"/>
      <c r="H128" s="127"/>
      <c r="I128" s="127"/>
      <c r="J128" s="127"/>
      <c r="K128" s="127"/>
      <c r="L128" s="127"/>
      <c r="M128" s="127"/>
      <c r="N128" s="127"/>
      <c r="O128" s="127"/>
      <c r="P128" s="127"/>
    </row>
    <row r="129" spans="1:16" hidden="1">
      <c r="A129" s="127"/>
      <c r="B129" s="127"/>
      <c r="D129" s="127"/>
      <c r="E129" s="127"/>
      <c r="F129" s="127"/>
      <c r="G129" s="127"/>
      <c r="H129" s="127"/>
      <c r="I129" s="127"/>
      <c r="J129" s="127"/>
      <c r="K129" s="127"/>
      <c r="L129" s="127"/>
      <c r="M129" s="127"/>
      <c r="N129" s="127"/>
      <c r="O129" s="127"/>
      <c r="P129" s="127"/>
    </row>
    <row r="130" spans="1:16" hidden="1">
      <c r="A130" s="127"/>
      <c r="B130" s="127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</row>
    <row r="131" spans="1:16" hidden="1">
      <c r="A131" s="127"/>
      <c r="B131" s="127"/>
      <c r="D131" s="127"/>
      <c r="E131" s="127"/>
      <c r="F131" s="127"/>
      <c r="G131" s="127"/>
      <c r="H131" s="127"/>
      <c r="I131" s="127"/>
      <c r="J131" s="127"/>
      <c r="K131" s="127"/>
      <c r="L131" s="127"/>
      <c r="M131" s="127"/>
      <c r="N131" s="127"/>
      <c r="O131" s="127"/>
      <c r="P131" s="127"/>
    </row>
    <row r="132" spans="1:16" hidden="1">
      <c r="A132" s="127"/>
      <c r="B132" s="127"/>
      <c r="D132" s="127"/>
      <c r="E132" s="127"/>
      <c r="F132" s="127"/>
      <c r="G132" s="127"/>
      <c r="H132" s="127"/>
      <c r="I132" s="127"/>
      <c r="J132" s="127"/>
      <c r="K132" s="127"/>
      <c r="L132" s="127"/>
      <c r="M132" s="127"/>
      <c r="N132" s="127"/>
      <c r="O132" s="127"/>
      <c r="P132" s="127"/>
    </row>
    <row r="133" spans="1:16" hidden="1">
      <c r="A133" s="127"/>
      <c r="B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</row>
    <row r="134" spans="1:16" hidden="1">
      <c r="A134" s="127"/>
      <c r="B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</row>
    <row r="135" spans="1:16" hidden="1">
      <c r="A135" s="127"/>
      <c r="B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</row>
    <row r="136" spans="1:16" hidden="1">
      <c r="A136" s="127"/>
      <c r="B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</row>
    <row r="137" spans="1:16" hidden="1">
      <c r="A137" s="127"/>
      <c r="B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</row>
    <row r="138" spans="1:16" hidden="1">
      <c r="A138" s="127"/>
      <c r="B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</row>
    <row r="139" spans="1:16" hidden="1">
      <c r="A139" s="127"/>
      <c r="B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</row>
    <row r="140" spans="1:16" hidden="1">
      <c r="A140" s="127"/>
      <c r="B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</row>
    <row r="141" spans="1:16" hidden="1">
      <c r="A141" s="127"/>
      <c r="B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</row>
    <row r="142" spans="1:16" hidden="1">
      <c r="A142" s="127"/>
      <c r="B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</row>
    <row r="143" spans="1:16" hidden="1">
      <c r="A143" s="127"/>
      <c r="B143" s="127"/>
      <c r="D143" s="127"/>
      <c r="E143" s="127"/>
      <c r="F143" s="127"/>
      <c r="G143" s="127"/>
      <c r="H143" s="127"/>
      <c r="I143" s="127"/>
      <c r="J143" s="127"/>
      <c r="K143" s="127"/>
      <c r="L143" s="127"/>
      <c r="M143" s="127"/>
      <c r="N143" s="127"/>
      <c r="O143" s="127"/>
      <c r="P143" s="127"/>
    </row>
    <row r="144" spans="1:16" hidden="1">
      <c r="A144" s="127"/>
      <c r="B144" s="127"/>
      <c r="D144" s="127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  <c r="O144" s="127"/>
      <c r="P144" s="127"/>
    </row>
    <row r="145" spans="1:16" hidden="1">
      <c r="A145" s="127"/>
      <c r="B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</row>
    <row r="146" spans="1:16" hidden="1">
      <c r="A146" s="127"/>
      <c r="B146" s="127"/>
      <c r="D146" s="127"/>
      <c r="E146" s="127"/>
      <c r="F146" s="127"/>
      <c r="G146" s="127"/>
      <c r="H146" s="127"/>
      <c r="I146" s="127"/>
      <c r="J146" s="127"/>
      <c r="K146" s="127"/>
      <c r="L146" s="127"/>
      <c r="M146" s="127"/>
      <c r="N146" s="127"/>
      <c r="O146" s="127"/>
      <c r="P146" s="127"/>
    </row>
    <row r="147" spans="1:16" hidden="1">
      <c r="A147" s="127"/>
      <c r="B147" s="127"/>
      <c r="D147" s="127"/>
      <c r="E147" s="127"/>
      <c r="F147" s="127"/>
      <c r="G147" s="127"/>
      <c r="H147" s="127"/>
      <c r="I147" s="127"/>
      <c r="J147" s="127"/>
      <c r="K147" s="127"/>
      <c r="L147" s="127"/>
      <c r="M147" s="127"/>
      <c r="N147" s="127"/>
      <c r="O147" s="127"/>
      <c r="P147" s="127"/>
    </row>
    <row r="148" spans="1:16" hidden="1">
      <c r="A148" s="127"/>
      <c r="B148" s="127"/>
      <c r="D148" s="127"/>
      <c r="E148" s="127"/>
      <c r="F148" s="127"/>
      <c r="G148" s="127"/>
      <c r="H148" s="127"/>
      <c r="I148" s="127"/>
      <c r="J148" s="127"/>
      <c r="K148" s="127"/>
      <c r="L148" s="127"/>
      <c r="M148" s="127"/>
      <c r="N148" s="127"/>
      <c r="O148" s="127"/>
      <c r="P148" s="127"/>
    </row>
    <row r="149" spans="1:16" hidden="1">
      <c r="A149" s="127"/>
      <c r="B149" s="127"/>
      <c r="D149" s="127"/>
      <c r="E149" s="127"/>
      <c r="F149" s="127"/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</row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r:id="rId1"/>
  <headerFooter scaleWithDoc="0" alignWithMargins="0"/>
  <ignoredErrors>
    <ignoredError sqref="D40 D22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9"/>
  <sheetViews>
    <sheetView showGridLines="0" showZeros="0" workbookViewId="0">
      <pane ySplit="5" topLeftCell="A13" activePane="bottomLeft" state="frozen"/>
      <selection pane="bottomLeft" activeCell="A31" sqref="A31"/>
    </sheetView>
  </sheetViews>
  <sheetFormatPr defaultColWidth="0" defaultRowHeight="12.75" zeroHeight="1"/>
  <cols>
    <col min="1" max="1" width="19.42578125" style="100" customWidth="1"/>
    <col min="2" max="2" width="20.42578125" style="100" customWidth="1"/>
    <col min="3" max="3" width="9.140625" style="102" bestFit="1" customWidth="1"/>
    <col min="4" max="4" width="10.5703125" style="100" customWidth="1"/>
    <col min="5" max="17" width="9.5703125" style="100" customWidth="1"/>
    <col min="18" max="20" width="9.5703125" style="100" hidden="1" customWidth="1"/>
    <col min="21" max="21" width="11.5703125" style="100" hidden="1" customWidth="1"/>
    <col min="22" max="22" width="11.42578125" style="100" hidden="1" customWidth="1"/>
    <col min="23" max="23" width="0" style="100" hidden="1" customWidth="1"/>
    <col min="24" max="16384" width="0" style="100" hidden="1"/>
  </cols>
  <sheetData>
    <row r="1" spans="1:16" ht="12.75" customHeight="1">
      <c r="A1" s="837" t="s">
        <v>727</v>
      </c>
      <c r="B1" s="837"/>
      <c r="C1" s="837"/>
      <c r="K1" s="101"/>
      <c r="L1" s="101"/>
      <c r="M1" s="101"/>
      <c r="N1" s="101"/>
      <c r="O1" s="101"/>
      <c r="P1" s="128" t="s">
        <v>728</v>
      </c>
    </row>
    <row r="2" spans="1:16">
      <c r="A2" s="838" t="str">
        <f>'ТИП-ПРОИЗ'!B3</f>
        <v>"ТЕЦ Горна Оряховица" ЕАД</v>
      </c>
      <c r="B2" s="838"/>
      <c r="C2" s="838"/>
      <c r="K2" s="101"/>
      <c r="L2" s="101"/>
      <c r="M2" s="101"/>
      <c r="N2" s="101"/>
      <c r="O2" s="101"/>
      <c r="P2" s="101"/>
    </row>
    <row r="3" spans="1:16"/>
    <row r="4" spans="1:16">
      <c r="A4" s="844">
        <f>'ТИП-ПРОИЗ'!F6</f>
        <v>7.2022000000000004</v>
      </c>
      <c r="B4" s="845"/>
      <c r="C4" s="849" t="s">
        <v>668</v>
      </c>
      <c r="D4" s="685" t="s">
        <v>729</v>
      </c>
      <c r="E4" s="103">
        <f>DATE($A$4,D5,1)</f>
        <v>2558</v>
      </c>
      <c r="F4" s="103">
        <f t="shared" ref="F4:P4" si="0">DATE($A$4,$D$5+E5,1)</f>
        <v>2589</v>
      </c>
      <c r="G4" s="103">
        <f t="shared" si="0"/>
        <v>2617</v>
      </c>
      <c r="H4" s="103">
        <f t="shared" si="0"/>
        <v>2648</v>
      </c>
      <c r="I4" s="103">
        <f t="shared" si="0"/>
        <v>2678</v>
      </c>
      <c r="J4" s="103">
        <f t="shared" si="0"/>
        <v>2709</v>
      </c>
      <c r="K4" s="103">
        <f t="shared" si="0"/>
        <v>2739</v>
      </c>
      <c r="L4" s="103">
        <f t="shared" si="0"/>
        <v>2770</v>
      </c>
      <c r="M4" s="103">
        <f t="shared" si="0"/>
        <v>2801</v>
      </c>
      <c r="N4" s="103">
        <f t="shared" si="0"/>
        <v>2831</v>
      </c>
      <c r="O4" s="103">
        <f t="shared" si="0"/>
        <v>2862</v>
      </c>
      <c r="P4" s="103">
        <f t="shared" si="0"/>
        <v>2892</v>
      </c>
    </row>
    <row r="5" spans="1:16">
      <c r="A5" s="846"/>
      <c r="B5" s="847"/>
      <c r="C5" s="849"/>
      <c r="D5" s="132">
        <v>1</v>
      </c>
      <c r="E5" s="104">
        <v>1</v>
      </c>
      <c r="F5" s="104">
        <v>2</v>
      </c>
      <c r="G5" s="104">
        <v>3</v>
      </c>
      <c r="H5" s="104">
        <v>4</v>
      </c>
      <c r="I5" s="104">
        <v>5</v>
      </c>
      <c r="J5" s="104">
        <v>6</v>
      </c>
      <c r="K5" s="104">
        <v>7</v>
      </c>
      <c r="L5" s="104">
        <v>8</v>
      </c>
      <c r="M5" s="104">
        <v>9</v>
      </c>
      <c r="N5" s="104">
        <v>10</v>
      </c>
      <c r="O5" s="104">
        <v>11</v>
      </c>
      <c r="P5" s="104">
        <v>12</v>
      </c>
    </row>
    <row r="6" spans="1:16" ht="12.75" customHeight="1">
      <c r="A6" s="848" t="s">
        <v>730</v>
      </c>
      <c r="B6" s="525" t="s">
        <v>731</v>
      </c>
      <c r="C6" s="526"/>
      <c r="D6" s="107"/>
      <c r="E6" s="528"/>
      <c r="F6" s="528"/>
      <c r="G6" s="528"/>
      <c r="H6" s="528"/>
      <c r="I6" s="528" t="s">
        <v>764</v>
      </c>
      <c r="J6" s="528" t="s">
        <v>765</v>
      </c>
      <c r="K6" s="528" t="s">
        <v>765</v>
      </c>
      <c r="L6" s="528" t="s">
        <v>764</v>
      </c>
      <c r="M6" s="528" t="s">
        <v>764</v>
      </c>
      <c r="N6" s="528" t="s">
        <v>764</v>
      </c>
      <c r="O6" s="528" t="s">
        <v>764</v>
      </c>
      <c r="P6" s="528" t="s">
        <v>764</v>
      </c>
    </row>
    <row r="7" spans="1:16" ht="12.75" customHeight="1">
      <c r="A7" s="848"/>
      <c r="B7" s="525" t="s">
        <v>732</v>
      </c>
      <c r="C7" s="526"/>
      <c r="D7" s="107"/>
      <c r="E7" s="528"/>
      <c r="F7" s="528"/>
      <c r="G7" s="528"/>
      <c r="H7" s="528"/>
      <c r="I7" s="528"/>
      <c r="J7" s="528" t="s">
        <v>766</v>
      </c>
      <c r="K7" s="528" t="s">
        <v>766</v>
      </c>
      <c r="L7" s="528"/>
      <c r="M7" s="528"/>
      <c r="N7" s="528"/>
      <c r="O7" s="528"/>
      <c r="P7" s="528"/>
    </row>
    <row r="8" spans="1:16">
      <c r="A8" s="848"/>
      <c r="B8" s="527" t="s">
        <v>733</v>
      </c>
      <c r="C8" s="527"/>
      <c r="D8" s="107"/>
      <c r="E8" s="524"/>
      <c r="F8" s="524"/>
      <c r="G8" s="524"/>
      <c r="H8" s="524"/>
      <c r="I8" s="524"/>
      <c r="J8" s="524"/>
      <c r="K8" s="524"/>
      <c r="L8" s="524"/>
      <c r="M8" s="524"/>
      <c r="N8" s="524"/>
      <c r="O8" s="524"/>
      <c r="P8" s="524"/>
    </row>
    <row r="9" spans="1:16">
      <c r="A9" s="850" t="s">
        <v>734</v>
      </c>
      <c r="B9" s="105" t="s">
        <v>735</v>
      </c>
      <c r="C9" s="106" t="s">
        <v>238</v>
      </c>
      <c r="D9" s="107">
        <f>SUM(E9:P9)</f>
        <v>70599</v>
      </c>
      <c r="E9" s="107">
        <f t="shared" ref="E9:P9" si="1">SUM(E10:E11)</f>
        <v>0</v>
      </c>
      <c r="F9" s="107">
        <f t="shared" si="1"/>
        <v>0</v>
      </c>
      <c r="G9" s="107">
        <f t="shared" si="1"/>
        <v>0</v>
      </c>
      <c r="H9" s="107">
        <f t="shared" si="1"/>
        <v>0</v>
      </c>
      <c r="I9" s="107">
        <f t="shared" si="1"/>
        <v>2523</v>
      </c>
      <c r="J9" s="107">
        <f t="shared" si="1"/>
        <v>13908</v>
      </c>
      <c r="K9" s="107">
        <f t="shared" si="1"/>
        <v>25224</v>
      </c>
      <c r="L9" s="107">
        <f t="shared" si="1"/>
        <v>5930</v>
      </c>
      <c r="M9" s="107">
        <f t="shared" si="1"/>
        <v>6159</v>
      </c>
      <c r="N9" s="107">
        <f t="shared" si="1"/>
        <v>5875</v>
      </c>
      <c r="O9" s="107">
        <f t="shared" si="1"/>
        <v>4498</v>
      </c>
      <c r="P9" s="107">
        <f t="shared" si="1"/>
        <v>6482</v>
      </c>
    </row>
    <row r="10" spans="1:16">
      <c r="A10" s="851"/>
      <c r="B10" s="105" t="s">
        <v>736</v>
      </c>
      <c r="C10" s="106" t="s">
        <v>238</v>
      </c>
      <c r="D10" s="107">
        <f t="shared" ref="D10:D17" si="2">SUM(E10:P10)</f>
        <v>0</v>
      </c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</row>
    <row r="11" spans="1:16">
      <c r="A11" s="852"/>
      <c r="B11" s="105" t="s">
        <v>737</v>
      </c>
      <c r="C11" s="106" t="s">
        <v>238</v>
      </c>
      <c r="D11" s="107">
        <f t="shared" si="2"/>
        <v>70599</v>
      </c>
      <c r="E11" s="133"/>
      <c r="F11" s="133"/>
      <c r="G11" s="133"/>
      <c r="H11" s="133"/>
      <c r="I11" s="133">
        <v>2523</v>
      </c>
      <c r="J11" s="133">
        <v>13908</v>
      </c>
      <c r="K11" s="133">
        <v>25224</v>
      </c>
      <c r="L11" s="133">
        <v>5930</v>
      </c>
      <c r="M11" s="133">
        <v>6159</v>
      </c>
      <c r="N11" s="133">
        <v>5875</v>
      </c>
      <c r="O11" s="133">
        <v>4498</v>
      </c>
      <c r="P11" s="133">
        <v>6482</v>
      </c>
    </row>
    <row r="12" spans="1:16">
      <c r="A12" s="839" t="s">
        <v>738</v>
      </c>
      <c r="B12" s="105" t="s">
        <v>735</v>
      </c>
      <c r="C12" s="106" t="s">
        <v>238</v>
      </c>
      <c r="D12" s="107">
        <f t="shared" si="2"/>
        <v>0</v>
      </c>
      <c r="E12" s="107">
        <f t="shared" ref="E12:P12" si="3">SUM(E13:E14)</f>
        <v>0</v>
      </c>
      <c r="F12" s="107">
        <f t="shared" si="3"/>
        <v>0</v>
      </c>
      <c r="G12" s="107">
        <f t="shared" si="3"/>
        <v>0</v>
      </c>
      <c r="H12" s="107">
        <f t="shared" si="3"/>
        <v>0</v>
      </c>
      <c r="I12" s="107">
        <f t="shared" si="3"/>
        <v>0</v>
      </c>
      <c r="J12" s="107">
        <f t="shared" si="3"/>
        <v>0</v>
      </c>
      <c r="K12" s="107">
        <f t="shared" si="3"/>
        <v>0</v>
      </c>
      <c r="L12" s="107">
        <f t="shared" si="3"/>
        <v>0</v>
      </c>
      <c r="M12" s="107">
        <f t="shared" si="3"/>
        <v>0</v>
      </c>
      <c r="N12" s="107">
        <f t="shared" si="3"/>
        <v>0</v>
      </c>
      <c r="O12" s="107">
        <f t="shared" si="3"/>
        <v>0</v>
      </c>
      <c r="P12" s="107">
        <f t="shared" si="3"/>
        <v>0</v>
      </c>
    </row>
    <row r="13" spans="1:16">
      <c r="A13" s="840"/>
      <c r="B13" s="105" t="s">
        <v>736</v>
      </c>
      <c r="C13" s="106" t="s">
        <v>238</v>
      </c>
      <c r="D13" s="107">
        <f t="shared" si="2"/>
        <v>0</v>
      </c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</row>
    <row r="14" spans="1:16">
      <c r="A14" s="841"/>
      <c r="B14" s="105" t="s">
        <v>737</v>
      </c>
      <c r="C14" s="106" t="s">
        <v>238</v>
      </c>
      <c r="D14" s="107">
        <f t="shared" si="2"/>
        <v>0</v>
      </c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</row>
    <row r="15" spans="1:16">
      <c r="A15" s="839" t="s">
        <v>739</v>
      </c>
      <c r="B15" s="105" t="s">
        <v>735</v>
      </c>
      <c r="C15" s="106" t="s">
        <v>238</v>
      </c>
      <c r="D15" s="107">
        <f t="shared" si="2"/>
        <v>69861</v>
      </c>
      <c r="E15" s="107">
        <f t="shared" ref="E15:P15" si="4">SUM(E16:E17)</f>
        <v>0</v>
      </c>
      <c r="F15" s="107">
        <f t="shared" si="4"/>
        <v>0</v>
      </c>
      <c r="G15" s="107">
        <f t="shared" si="4"/>
        <v>0</v>
      </c>
      <c r="H15" s="107">
        <f t="shared" si="4"/>
        <v>0</v>
      </c>
      <c r="I15" s="107">
        <f t="shared" si="4"/>
        <v>2574</v>
      </c>
      <c r="J15" s="107">
        <f t="shared" si="4"/>
        <v>13824</v>
      </c>
      <c r="K15" s="107">
        <f t="shared" si="4"/>
        <v>25300</v>
      </c>
      <c r="L15" s="107">
        <f t="shared" si="4"/>
        <v>5711</v>
      </c>
      <c r="M15" s="107">
        <f t="shared" si="4"/>
        <v>6014</v>
      </c>
      <c r="N15" s="107">
        <f t="shared" si="4"/>
        <v>5590</v>
      </c>
      <c r="O15" s="107">
        <f t="shared" si="4"/>
        <v>4421</v>
      </c>
      <c r="P15" s="107">
        <f t="shared" si="4"/>
        <v>6427</v>
      </c>
    </row>
    <row r="16" spans="1:16">
      <c r="A16" s="840"/>
      <c r="B16" s="105" t="s">
        <v>736</v>
      </c>
      <c r="C16" s="106" t="s">
        <v>238</v>
      </c>
      <c r="D16" s="107">
        <f t="shared" si="2"/>
        <v>0</v>
      </c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</row>
    <row r="17" spans="1:16">
      <c r="A17" s="841"/>
      <c r="B17" s="105" t="s">
        <v>737</v>
      </c>
      <c r="C17" s="106" t="s">
        <v>238</v>
      </c>
      <c r="D17" s="107">
        <f t="shared" si="2"/>
        <v>69861</v>
      </c>
      <c r="E17" s="133"/>
      <c r="F17" s="133"/>
      <c r="G17" s="133"/>
      <c r="H17" s="133"/>
      <c r="I17" s="133">
        <v>2574</v>
      </c>
      <c r="J17" s="133">
        <v>13824</v>
      </c>
      <c r="K17" s="133">
        <v>25300</v>
      </c>
      <c r="L17" s="133">
        <v>5711</v>
      </c>
      <c r="M17" s="133">
        <v>6014</v>
      </c>
      <c r="N17" s="133">
        <v>5590</v>
      </c>
      <c r="O17" s="133">
        <v>4421</v>
      </c>
      <c r="P17" s="133">
        <v>6427</v>
      </c>
    </row>
    <row r="18" spans="1:16">
      <c r="A18" s="109"/>
      <c r="B18" s="110"/>
      <c r="C18" s="111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</row>
    <row r="19" spans="1:16">
      <c r="A19" s="105" t="s">
        <v>740</v>
      </c>
      <c r="B19" s="105" t="s">
        <v>735</v>
      </c>
      <c r="C19" s="106" t="s">
        <v>238</v>
      </c>
      <c r="D19" s="107">
        <f>SUM(E19:P19)</f>
        <v>0</v>
      </c>
      <c r="E19" s="107">
        <f t="shared" ref="E19:P19" si="5">SUM(E20:E21)</f>
        <v>0</v>
      </c>
      <c r="F19" s="107">
        <f t="shared" si="5"/>
        <v>0</v>
      </c>
      <c r="G19" s="107">
        <f t="shared" si="5"/>
        <v>0</v>
      </c>
      <c r="H19" s="107">
        <f t="shared" si="5"/>
        <v>0</v>
      </c>
      <c r="I19" s="107">
        <f t="shared" si="5"/>
        <v>0</v>
      </c>
      <c r="J19" s="107">
        <f t="shared" si="5"/>
        <v>0</v>
      </c>
      <c r="K19" s="107">
        <f t="shared" si="5"/>
        <v>0</v>
      </c>
      <c r="L19" s="107">
        <f t="shared" si="5"/>
        <v>0</v>
      </c>
      <c r="M19" s="107">
        <f t="shared" si="5"/>
        <v>0</v>
      </c>
      <c r="N19" s="107">
        <f t="shared" si="5"/>
        <v>0</v>
      </c>
      <c r="O19" s="107">
        <f t="shared" si="5"/>
        <v>0</v>
      </c>
      <c r="P19" s="107">
        <f t="shared" si="5"/>
        <v>0</v>
      </c>
    </row>
    <row r="20" spans="1:16">
      <c r="A20" s="113" t="s">
        <v>741</v>
      </c>
      <c r="B20" s="105" t="s">
        <v>736</v>
      </c>
      <c r="C20" s="106" t="s">
        <v>238</v>
      </c>
      <c r="D20" s="107">
        <f>SUM(E20:P20)</f>
        <v>0</v>
      </c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</row>
    <row r="21" spans="1:16">
      <c r="A21" s="108" t="s">
        <v>742</v>
      </c>
      <c r="B21" s="105" t="s">
        <v>737</v>
      </c>
      <c r="C21" s="106" t="s">
        <v>238</v>
      </c>
      <c r="D21" s="107">
        <f>SUM(E21:P21)</f>
        <v>0</v>
      </c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</row>
    <row r="22" spans="1:16">
      <c r="A22" s="105" t="s">
        <v>541</v>
      </c>
      <c r="B22" s="105" t="s">
        <v>743</v>
      </c>
      <c r="C22" s="685" t="s">
        <v>208</v>
      </c>
      <c r="D22" s="490">
        <f t="shared" ref="D22:P22" si="6">IF(D23=0,0,D19/D23)</f>
        <v>0</v>
      </c>
      <c r="E22" s="490">
        <f t="shared" si="6"/>
        <v>0</v>
      </c>
      <c r="F22" s="490">
        <f t="shared" si="6"/>
        <v>0</v>
      </c>
      <c r="G22" s="490">
        <f t="shared" si="6"/>
        <v>0</v>
      </c>
      <c r="H22" s="490">
        <f t="shared" si="6"/>
        <v>0</v>
      </c>
      <c r="I22" s="490">
        <f t="shared" si="6"/>
        <v>0</v>
      </c>
      <c r="J22" s="490">
        <f t="shared" si="6"/>
        <v>0</v>
      </c>
      <c r="K22" s="490">
        <f t="shared" si="6"/>
        <v>0</v>
      </c>
      <c r="L22" s="490">
        <f t="shared" si="6"/>
        <v>0</v>
      </c>
      <c r="M22" s="490">
        <f t="shared" si="6"/>
        <v>0</v>
      </c>
      <c r="N22" s="490">
        <f t="shared" si="6"/>
        <v>0</v>
      </c>
      <c r="O22" s="490">
        <f t="shared" si="6"/>
        <v>0</v>
      </c>
      <c r="P22" s="490">
        <f t="shared" si="6"/>
        <v>0</v>
      </c>
    </row>
    <row r="23" spans="1:16">
      <c r="A23" s="842" t="s">
        <v>744</v>
      </c>
      <c r="B23" s="114" t="s">
        <v>745</v>
      </c>
      <c r="C23" s="106" t="s">
        <v>238</v>
      </c>
      <c r="D23" s="107">
        <f>SUM(E23:P23)</f>
        <v>0</v>
      </c>
      <c r="E23" s="115">
        <f>SUMPRODUCT($B$25:$B$26,E25:E26)/860</f>
        <v>0</v>
      </c>
      <c r="F23" s="115">
        <f t="shared" ref="F23:P23" si="7">SUMPRODUCT($B$25:$B$26,F25:F26)/860</f>
        <v>0</v>
      </c>
      <c r="G23" s="115">
        <f t="shared" si="7"/>
        <v>0</v>
      </c>
      <c r="H23" s="115">
        <f t="shared" si="7"/>
        <v>0</v>
      </c>
      <c r="I23" s="115">
        <f t="shared" si="7"/>
        <v>0</v>
      </c>
      <c r="J23" s="115">
        <f t="shared" si="7"/>
        <v>0</v>
      </c>
      <c r="K23" s="115">
        <f t="shared" si="7"/>
        <v>0</v>
      </c>
      <c r="L23" s="115">
        <f t="shared" si="7"/>
        <v>0</v>
      </c>
      <c r="M23" s="115">
        <f t="shared" si="7"/>
        <v>0</v>
      </c>
      <c r="N23" s="115">
        <f t="shared" si="7"/>
        <v>0</v>
      </c>
      <c r="O23" s="115">
        <f t="shared" si="7"/>
        <v>0</v>
      </c>
      <c r="P23" s="115">
        <f t="shared" si="7"/>
        <v>0</v>
      </c>
    </row>
    <row r="24" spans="1:16" ht="14.25">
      <c r="A24" s="843"/>
      <c r="B24" s="114" t="s">
        <v>746</v>
      </c>
      <c r="C24" s="685" t="s">
        <v>747</v>
      </c>
      <c r="D24" s="107">
        <f>SUM(E24:P24)</f>
        <v>0</v>
      </c>
      <c r="E24" s="116">
        <f t="shared" ref="E24:P24" si="8">E23*0.86/7</f>
        <v>0</v>
      </c>
      <c r="F24" s="116">
        <f t="shared" si="8"/>
        <v>0</v>
      </c>
      <c r="G24" s="116">
        <f t="shared" si="8"/>
        <v>0</v>
      </c>
      <c r="H24" s="116">
        <f t="shared" si="8"/>
        <v>0</v>
      </c>
      <c r="I24" s="116">
        <f t="shared" si="8"/>
        <v>0</v>
      </c>
      <c r="J24" s="116">
        <f t="shared" si="8"/>
        <v>0</v>
      </c>
      <c r="K24" s="116">
        <f t="shared" si="8"/>
        <v>0</v>
      </c>
      <c r="L24" s="116">
        <f t="shared" si="8"/>
        <v>0</v>
      </c>
      <c r="M24" s="116">
        <f t="shared" si="8"/>
        <v>0</v>
      </c>
      <c r="N24" s="116">
        <f t="shared" si="8"/>
        <v>0</v>
      </c>
      <c r="O24" s="116">
        <f t="shared" si="8"/>
        <v>0</v>
      </c>
      <c r="P24" s="116">
        <f t="shared" si="8"/>
        <v>0</v>
      </c>
    </row>
    <row r="25" spans="1:16" ht="15.75">
      <c r="A25" s="113" t="s">
        <v>748</v>
      </c>
      <c r="B25" s="647">
        <v>8000</v>
      </c>
      <c r="C25" s="648" t="s">
        <v>279</v>
      </c>
      <c r="D25" s="107">
        <f>SUM(E25:P25)</f>
        <v>0</v>
      </c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</row>
    <row r="26" spans="1:16" ht="15.75">
      <c r="A26" s="108" t="s">
        <v>749</v>
      </c>
      <c r="B26" s="647">
        <v>8000</v>
      </c>
      <c r="C26" s="648" t="s">
        <v>279</v>
      </c>
      <c r="D26" s="107">
        <f>SUM(E26:P26)</f>
        <v>0</v>
      </c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</row>
    <row r="27" spans="1:16" s="117" customFormat="1" ht="11.25" customHeight="1"/>
    <row r="28" spans="1:16">
      <c r="A28" s="118" t="s">
        <v>750</v>
      </c>
      <c r="B28" s="114" t="s">
        <v>745</v>
      </c>
      <c r="C28" s="106" t="s">
        <v>238</v>
      </c>
      <c r="D28" s="107">
        <f t="shared" ref="D28:D34" si="9">SUM(E28:P28)</f>
        <v>95451.690348837219</v>
      </c>
      <c r="E28" s="115">
        <f>SUMPRODUCT($A$30:$A$34,E30:E34)/860</f>
        <v>0</v>
      </c>
      <c r="F28" s="115">
        <f t="shared" ref="F28:P28" si="10">SUMPRODUCT($A$30:$A$34,F30:F34)/860</f>
        <v>0</v>
      </c>
      <c r="G28" s="115">
        <f t="shared" si="10"/>
        <v>0</v>
      </c>
      <c r="H28" s="115">
        <f t="shared" si="10"/>
        <v>0</v>
      </c>
      <c r="I28" s="115">
        <f t="shared" si="10"/>
        <v>3888.8316860465115</v>
      </c>
      <c r="J28" s="115">
        <f t="shared" si="10"/>
        <v>18459.247034883723</v>
      </c>
      <c r="K28" s="115">
        <f t="shared" si="10"/>
        <v>30187.127499999999</v>
      </c>
      <c r="L28" s="115">
        <f t="shared" si="10"/>
        <v>7876.6187790697677</v>
      </c>
      <c r="M28" s="115">
        <f t="shared" si="10"/>
        <v>8806.5923837209302</v>
      </c>
      <c r="N28" s="115">
        <f t="shared" si="10"/>
        <v>9018.0962790697686</v>
      </c>
      <c r="O28" s="115">
        <f t="shared" si="10"/>
        <v>6875.6782558139539</v>
      </c>
      <c r="P28" s="115">
        <f t="shared" si="10"/>
        <v>10339.498430232559</v>
      </c>
    </row>
    <row r="29" spans="1:16" ht="14.25">
      <c r="A29" s="119"/>
      <c r="B29" s="114" t="s">
        <v>746</v>
      </c>
      <c r="C29" s="685" t="s">
        <v>747</v>
      </c>
      <c r="D29" s="107">
        <f t="shared" si="9"/>
        <v>11726.921957142857</v>
      </c>
      <c r="E29" s="116">
        <f t="shared" ref="E29:P29" si="11">E28*0.86/7</f>
        <v>0</v>
      </c>
      <c r="F29" s="116">
        <f t="shared" si="11"/>
        <v>0</v>
      </c>
      <c r="G29" s="116">
        <f t="shared" si="11"/>
        <v>0</v>
      </c>
      <c r="H29" s="116">
        <f t="shared" si="11"/>
        <v>0</v>
      </c>
      <c r="I29" s="116">
        <f t="shared" si="11"/>
        <v>477.77075000000002</v>
      </c>
      <c r="J29" s="116">
        <f t="shared" si="11"/>
        <v>2267.8503500000002</v>
      </c>
      <c r="K29" s="116">
        <f t="shared" si="11"/>
        <v>3708.7042357142855</v>
      </c>
      <c r="L29" s="116">
        <f t="shared" si="11"/>
        <v>967.69887857142851</v>
      </c>
      <c r="M29" s="116">
        <f t="shared" si="11"/>
        <v>1081.9527785714286</v>
      </c>
      <c r="N29" s="116">
        <f t="shared" si="11"/>
        <v>1107.9375428571429</v>
      </c>
      <c r="O29" s="116">
        <f t="shared" si="11"/>
        <v>844.72618571428575</v>
      </c>
      <c r="P29" s="116">
        <f t="shared" si="11"/>
        <v>1270.2812357142859</v>
      </c>
    </row>
    <row r="30" spans="1:16" ht="15.75">
      <c r="A30" s="134">
        <v>8100</v>
      </c>
      <c r="B30" s="114" t="s">
        <v>124</v>
      </c>
      <c r="C30" s="685" t="s">
        <v>279</v>
      </c>
      <c r="D30" s="107">
        <f t="shared" si="9"/>
        <v>83.489000000000004</v>
      </c>
      <c r="E30" s="133"/>
      <c r="F30" s="133"/>
      <c r="G30" s="133"/>
      <c r="H30" s="133"/>
      <c r="I30" s="133">
        <v>6.4960000000000004</v>
      </c>
      <c r="J30" s="133">
        <v>23.94</v>
      </c>
      <c r="K30" s="133">
        <v>9.2569999999999997</v>
      </c>
      <c r="L30" s="133">
        <v>3.95</v>
      </c>
      <c r="M30" s="133">
        <v>8.5419999999999998</v>
      </c>
      <c r="N30" s="133">
        <v>15.452</v>
      </c>
      <c r="O30" s="133">
        <v>8.4019999999999992</v>
      </c>
      <c r="P30" s="133">
        <v>7.45</v>
      </c>
    </row>
    <row r="31" spans="1:16">
      <c r="A31" s="71">
        <v>9500</v>
      </c>
      <c r="B31" s="114" t="s">
        <v>126</v>
      </c>
      <c r="C31" s="685" t="s">
        <v>282</v>
      </c>
      <c r="D31" s="107">
        <f t="shared" si="9"/>
        <v>0</v>
      </c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</row>
    <row r="32" spans="1:16">
      <c r="A32" s="71">
        <v>10500</v>
      </c>
      <c r="B32" s="114" t="s">
        <v>128</v>
      </c>
      <c r="C32" s="685" t="s">
        <v>282</v>
      </c>
      <c r="D32" s="107">
        <f t="shared" si="9"/>
        <v>0</v>
      </c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</row>
    <row r="33" spans="1:16">
      <c r="A33" s="71">
        <v>5065</v>
      </c>
      <c r="B33" s="114" t="s">
        <v>130</v>
      </c>
      <c r="C33" s="685" t="s">
        <v>282</v>
      </c>
      <c r="D33" s="107">
        <f t="shared" si="9"/>
        <v>12297.119999999999</v>
      </c>
      <c r="E33" s="133"/>
      <c r="F33" s="133"/>
      <c r="G33" s="133"/>
      <c r="H33" s="133"/>
      <c r="I33" s="133">
        <v>499.81</v>
      </c>
      <c r="J33" s="133">
        <v>2420.13</v>
      </c>
      <c r="K33" s="133">
        <v>3970.43</v>
      </c>
      <c r="L33" s="133">
        <v>1012.11</v>
      </c>
      <c r="M33" s="133">
        <v>1128.45</v>
      </c>
      <c r="N33" s="133">
        <v>1128.6400000000001</v>
      </c>
      <c r="O33" s="133">
        <v>849.34</v>
      </c>
      <c r="P33" s="133">
        <v>1288.21</v>
      </c>
    </row>
    <row r="34" spans="1:16" ht="15.75">
      <c r="A34" s="72">
        <v>4000</v>
      </c>
      <c r="B34" s="114" t="s">
        <v>751</v>
      </c>
      <c r="C34" s="685" t="s">
        <v>752</v>
      </c>
      <c r="D34" s="107">
        <f t="shared" si="9"/>
        <v>4781.82</v>
      </c>
      <c r="E34" s="133"/>
      <c r="F34" s="133"/>
      <c r="G34" s="133"/>
      <c r="H34" s="133"/>
      <c r="I34" s="133">
        <v>190.06</v>
      </c>
      <c r="J34" s="133">
        <v>855.77</v>
      </c>
      <c r="K34" s="133">
        <v>1443.93</v>
      </c>
      <c r="L34" s="133">
        <v>403.89</v>
      </c>
      <c r="M34" s="133">
        <v>447.22</v>
      </c>
      <c r="N34" s="133">
        <v>478.46</v>
      </c>
      <c r="O34" s="133">
        <v>385.78</v>
      </c>
      <c r="P34" s="133">
        <v>576.71</v>
      </c>
    </row>
    <row r="35" spans="1:16" s="117" customFormat="1"/>
    <row r="36" spans="1:16">
      <c r="A36" s="120" t="s">
        <v>753</v>
      </c>
      <c r="B36" s="121" t="s">
        <v>754</v>
      </c>
      <c r="C36" s="106" t="s">
        <v>238</v>
      </c>
      <c r="D36" s="107">
        <f>SUM(E36:P36)</f>
        <v>3395.3089999999997</v>
      </c>
      <c r="E36" s="133"/>
      <c r="F36" s="133"/>
      <c r="G36" s="133"/>
      <c r="H36" s="133"/>
      <c r="I36" s="133"/>
      <c r="J36" s="133">
        <v>944.20699999999999</v>
      </c>
      <c r="K36" s="133">
        <v>2451.1019999999999</v>
      </c>
      <c r="L36" s="133"/>
      <c r="M36" s="133"/>
      <c r="N36" s="133"/>
      <c r="O36" s="133"/>
      <c r="P36" s="133"/>
    </row>
    <row r="37" spans="1:16">
      <c r="A37" s="120" t="s">
        <v>755</v>
      </c>
      <c r="B37" s="121"/>
      <c r="C37" s="106" t="s">
        <v>238</v>
      </c>
      <c r="D37" s="107">
        <f>SUM(E37:P37)</f>
        <v>3395.3089999999997</v>
      </c>
      <c r="E37" s="133"/>
      <c r="F37" s="133"/>
      <c r="G37" s="133"/>
      <c r="H37" s="133"/>
      <c r="I37" s="133"/>
      <c r="J37" s="133">
        <v>944.20699999999999</v>
      </c>
      <c r="K37" s="133">
        <v>2451.1019999999999</v>
      </c>
      <c r="L37" s="133"/>
      <c r="M37" s="133"/>
      <c r="N37" s="133"/>
      <c r="O37" s="133"/>
      <c r="P37" s="133"/>
    </row>
    <row r="38" spans="1:16">
      <c r="A38" s="120" t="s">
        <v>756</v>
      </c>
      <c r="B38" s="121"/>
      <c r="C38" s="106" t="s">
        <v>238</v>
      </c>
      <c r="D38" s="107">
        <f>SUM(E38:P38)</f>
        <v>0</v>
      </c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</row>
    <row r="39" spans="1:16">
      <c r="A39" s="836" t="s">
        <v>331</v>
      </c>
      <c r="B39" s="122"/>
      <c r="C39" s="106" t="s">
        <v>238</v>
      </c>
      <c r="D39" s="107">
        <f>SUM(E39:P39)</f>
        <v>843.86599999999999</v>
      </c>
      <c r="E39" s="133"/>
      <c r="F39" s="133"/>
      <c r="G39" s="133"/>
      <c r="H39" s="133"/>
      <c r="I39" s="133"/>
      <c r="J39" s="133">
        <v>267.56799999999998</v>
      </c>
      <c r="K39" s="133">
        <v>576.298</v>
      </c>
      <c r="L39" s="133"/>
      <c r="M39" s="133"/>
      <c r="N39" s="133"/>
      <c r="O39" s="133"/>
      <c r="P39" s="133"/>
    </row>
    <row r="40" spans="1:16">
      <c r="A40" s="836"/>
      <c r="B40" s="122"/>
      <c r="C40" s="685" t="s">
        <v>208</v>
      </c>
      <c r="D40" s="123">
        <f t="shared" ref="D40:P40" si="12">IF(D36=0,0,D39/D36)</f>
        <v>0.24853879278734278</v>
      </c>
      <c r="E40" s="123">
        <f t="shared" si="12"/>
        <v>0</v>
      </c>
      <c r="F40" s="123">
        <f t="shared" si="12"/>
        <v>0</v>
      </c>
      <c r="G40" s="123">
        <f t="shared" si="12"/>
        <v>0</v>
      </c>
      <c r="H40" s="123">
        <f t="shared" si="12"/>
        <v>0</v>
      </c>
      <c r="I40" s="123">
        <f t="shared" si="12"/>
        <v>0</v>
      </c>
      <c r="J40" s="123">
        <f t="shared" si="12"/>
        <v>0.28337853881617059</v>
      </c>
      <c r="K40" s="123">
        <f t="shared" si="12"/>
        <v>0.23511791838936122</v>
      </c>
      <c r="L40" s="123">
        <f t="shared" si="12"/>
        <v>0</v>
      </c>
      <c r="M40" s="123">
        <f t="shared" si="12"/>
        <v>0</v>
      </c>
      <c r="N40" s="123">
        <f t="shared" si="12"/>
        <v>0</v>
      </c>
      <c r="O40" s="123">
        <f t="shared" si="12"/>
        <v>0</v>
      </c>
      <c r="P40" s="123">
        <f t="shared" si="12"/>
        <v>0</v>
      </c>
    </row>
    <row r="41" spans="1:16" ht="20.25">
      <c r="A41" s="835" t="s">
        <v>757</v>
      </c>
      <c r="B41" s="124" t="s">
        <v>735</v>
      </c>
      <c r="C41" s="106" t="s">
        <v>238</v>
      </c>
      <c r="D41" s="125">
        <f t="shared" ref="D41:D46" si="13">SUM(E41:P41)</f>
        <v>2551.4429999999998</v>
      </c>
      <c r="E41" s="107">
        <f t="shared" ref="E41:P41" si="14">SUM(E36,-E39)</f>
        <v>0</v>
      </c>
      <c r="F41" s="107">
        <f t="shared" si="14"/>
        <v>0</v>
      </c>
      <c r="G41" s="107">
        <f t="shared" si="14"/>
        <v>0</v>
      </c>
      <c r="H41" s="107">
        <f t="shared" si="14"/>
        <v>0</v>
      </c>
      <c r="I41" s="107">
        <f t="shared" si="14"/>
        <v>0</v>
      </c>
      <c r="J41" s="107">
        <f t="shared" si="14"/>
        <v>676.63900000000001</v>
      </c>
      <c r="K41" s="107">
        <f t="shared" si="14"/>
        <v>1874.8039999999999</v>
      </c>
      <c r="L41" s="107">
        <f t="shared" si="14"/>
        <v>0</v>
      </c>
      <c r="M41" s="107">
        <f t="shared" si="14"/>
        <v>0</v>
      </c>
      <c r="N41" s="107">
        <f t="shared" si="14"/>
        <v>0</v>
      </c>
      <c r="O41" s="107">
        <f t="shared" si="14"/>
        <v>0</v>
      </c>
      <c r="P41" s="107">
        <f t="shared" si="14"/>
        <v>0</v>
      </c>
    </row>
    <row r="42" spans="1:16">
      <c r="A42" s="835"/>
      <c r="B42" s="121" t="s">
        <v>758</v>
      </c>
      <c r="C42" s="106" t="s">
        <v>238</v>
      </c>
      <c r="D42" s="107">
        <f t="shared" si="13"/>
        <v>0</v>
      </c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</row>
    <row r="43" spans="1:16">
      <c r="A43" s="835"/>
      <c r="B43" s="121" t="s">
        <v>759</v>
      </c>
      <c r="C43" s="106" t="s">
        <v>238</v>
      </c>
      <c r="D43" s="125">
        <f t="shared" si="13"/>
        <v>2551.4429999999998</v>
      </c>
      <c r="E43" s="116">
        <f>SUM(E41,-E42)</f>
        <v>0</v>
      </c>
      <c r="F43" s="116">
        <f t="shared" ref="F43:P43" si="15">SUM(F41,-F42)</f>
        <v>0</v>
      </c>
      <c r="G43" s="116">
        <f t="shared" si="15"/>
        <v>0</v>
      </c>
      <c r="H43" s="116">
        <f t="shared" si="15"/>
        <v>0</v>
      </c>
      <c r="I43" s="116">
        <f t="shared" si="15"/>
        <v>0</v>
      </c>
      <c r="J43" s="116">
        <f t="shared" si="15"/>
        <v>676.63900000000001</v>
      </c>
      <c r="K43" s="116">
        <f t="shared" si="15"/>
        <v>1874.8039999999999</v>
      </c>
      <c r="L43" s="116">
        <f t="shared" si="15"/>
        <v>0</v>
      </c>
      <c r="M43" s="116">
        <f t="shared" si="15"/>
        <v>0</v>
      </c>
      <c r="N43" s="116">
        <f t="shared" si="15"/>
        <v>0</v>
      </c>
      <c r="O43" s="116">
        <f t="shared" si="15"/>
        <v>0</v>
      </c>
      <c r="P43" s="116">
        <f t="shared" si="15"/>
        <v>0</v>
      </c>
    </row>
    <row r="44" spans="1:16">
      <c r="A44" s="835" t="s">
        <v>760</v>
      </c>
      <c r="B44" s="126" t="s">
        <v>761</v>
      </c>
      <c r="C44" s="106" t="s">
        <v>238</v>
      </c>
      <c r="D44" s="107">
        <f t="shared" si="13"/>
        <v>-2.2026824808563106E-13</v>
      </c>
      <c r="E44" s="107">
        <f>SUM(E43,-E45,-E46)</f>
        <v>0</v>
      </c>
      <c r="F44" s="107">
        <f t="shared" ref="F44:P44" si="16">SUM(F43,-F45,-F46)</f>
        <v>0</v>
      </c>
      <c r="G44" s="107">
        <f t="shared" si="16"/>
        <v>0</v>
      </c>
      <c r="H44" s="107">
        <f t="shared" si="16"/>
        <v>0</v>
      </c>
      <c r="I44" s="107">
        <f t="shared" si="16"/>
        <v>0</v>
      </c>
      <c r="J44" s="107">
        <f t="shared" si="16"/>
        <v>-7.1054273576010019E-15</v>
      </c>
      <c r="K44" s="107">
        <f t="shared" si="16"/>
        <v>-2.1316282072803006E-13</v>
      </c>
      <c r="L44" s="107">
        <f t="shared" si="16"/>
        <v>0</v>
      </c>
      <c r="M44" s="107">
        <f t="shared" si="16"/>
        <v>0</v>
      </c>
      <c r="N44" s="107">
        <f t="shared" si="16"/>
        <v>0</v>
      </c>
      <c r="O44" s="107">
        <f t="shared" si="16"/>
        <v>0</v>
      </c>
      <c r="P44" s="107">
        <f t="shared" si="16"/>
        <v>0</v>
      </c>
    </row>
    <row r="45" spans="1:16">
      <c r="A45" s="835"/>
      <c r="B45" s="126" t="s">
        <v>767</v>
      </c>
      <c r="C45" s="106" t="s">
        <v>238</v>
      </c>
      <c r="D45" s="107">
        <f t="shared" si="13"/>
        <v>2500.7510000000002</v>
      </c>
      <c r="E45" s="133"/>
      <c r="F45" s="133"/>
      <c r="G45" s="133"/>
      <c r="H45" s="133"/>
      <c r="I45" s="133"/>
      <c r="J45" s="133">
        <v>673.33100000000002</v>
      </c>
      <c r="K45" s="133">
        <v>1827.42</v>
      </c>
      <c r="L45" s="133"/>
      <c r="M45" s="133"/>
      <c r="N45" s="133"/>
      <c r="O45" s="133"/>
      <c r="P45" s="133"/>
    </row>
    <row r="46" spans="1:16">
      <c r="A46" s="835"/>
      <c r="B46" s="126" t="s">
        <v>768</v>
      </c>
      <c r="C46" s="106" t="s">
        <v>238</v>
      </c>
      <c r="D46" s="107">
        <f t="shared" si="13"/>
        <v>50.692</v>
      </c>
      <c r="E46" s="133"/>
      <c r="F46" s="133"/>
      <c r="G46" s="133"/>
      <c r="H46" s="133"/>
      <c r="I46" s="133"/>
      <c r="J46" s="133">
        <v>3.3079999999999998</v>
      </c>
      <c r="K46" s="133">
        <v>47.384</v>
      </c>
      <c r="L46" s="133"/>
      <c r="M46" s="133"/>
      <c r="N46" s="133"/>
      <c r="O46" s="133"/>
      <c r="P46" s="133"/>
    </row>
    <row r="47" spans="1:16">
      <c r="A47" s="834" t="s">
        <v>763</v>
      </c>
      <c r="B47" s="198" t="s">
        <v>736</v>
      </c>
      <c r="C47" s="106" t="s">
        <v>415</v>
      </c>
      <c r="D47" s="114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</row>
    <row r="48" spans="1:16">
      <c r="A48" s="834"/>
      <c r="B48" s="635" t="s">
        <v>737</v>
      </c>
      <c r="C48" s="106" t="s">
        <v>415</v>
      </c>
      <c r="D48" s="105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</row>
    <row r="49" spans="1:16">
      <c r="A49" s="225"/>
      <c r="B49" s="636"/>
      <c r="C49" s="111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</row>
    <row r="50" spans="1:16">
      <c r="A50" s="225"/>
      <c r="B50" s="636"/>
      <c r="C50" s="111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</row>
    <row r="51" spans="1:16">
      <c r="B51" s="128" t="str">
        <f>'[1]Разходи-Произв.'!$A$79</f>
        <v>Гл. счетоводител:</v>
      </c>
      <c r="C51" s="100"/>
      <c r="G51" s="129" t="str">
        <f>'[1]Разходи-Произв.'!$E$79</f>
        <v>Изп. директор:</v>
      </c>
      <c r="I51" s="130"/>
      <c r="J51" s="130"/>
    </row>
    <row r="52" spans="1:16">
      <c r="A52" s="127"/>
      <c r="C52" s="684" t="str">
        <f>Разходи!$B$93</f>
        <v>/ Росен Иванов /</v>
      </c>
      <c r="G52" s="130"/>
      <c r="H52" s="131" t="str">
        <f>Разходи!$F$93</f>
        <v>/ Анатолий Ботов/</v>
      </c>
      <c r="I52" s="131"/>
      <c r="J52" s="131"/>
    </row>
    <row r="53" spans="1:16">
      <c r="A53" s="127"/>
      <c r="B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</row>
    <row r="54" spans="1:16" hidden="1">
      <c r="A54" s="127"/>
      <c r="B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</row>
    <row r="55" spans="1:16" hidden="1">
      <c r="A55" s="127"/>
      <c r="B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</row>
    <row r="56" spans="1:16" hidden="1">
      <c r="A56" s="127"/>
      <c r="B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</row>
    <row r="57" spans="1:16" hidden="1">
      <c r="A57" s="127"/>
      <c r="B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</row>
    <row r="58" spans="1:16" hidden="1">
      <c r="A58" s="127"/>
      <c r="B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</row>
    <row r="59" spans="1:16" hidden="1">
      <c r="A59" s="127"/>
      <c r="B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</row>
    <row r="60" spans="1:16" hidden="1">
      <c r="A60" s="127"/>
      <c r="B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</row>
    <row r="61" spans="1:16" hidden="1">
      <c r="A61" s="127"/>
      <c r="B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</row>
    <row r="62" spans="1:16" hidden="1">
      <c r="A62" s="127"/>
      <c r="B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</row>
    <row r="63" spans="1:16" hidden="1">
      <c r="A63" s="127"/>
      <c r="B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</row>
    <row r="64" spans="1:16" hidden="1">
      <c r="A64" s="127"/>
      <c r="B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</row>
    <row r="65" spans="1:16" hidden="1">
      <c r="A65" s="127"/>
      <c r="B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</row>
    <row r="66" spans="1:16" hidden="1">
      <c r="A66" s="127"/>
      <c r="B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</row>
    <row r="67" spans="1:16" hidden="1">
      <c r="A67" s="127"/>
      <c r="B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</row>
    <row r="68" spans="1:16" hidden="1">
      <c r="A68" s="127"/>
      <c r="B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</row>
    <row r="69" spans="1:16" hidden="1">
      <c r="A69" s="127"/>
      <c r="B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</row>
    <row r="70" spans="1:16" hidden="1">
      <c r="A70" s="127"/>
      <c r="B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</row>
    <row r="71" spans="1:16" hidden="1">
      <c r="A71" s="127"/>
      <c r="B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</row>
    <row r="72" spans="1:16" hidden="1">
      <c r="A72" s="127"/>
      <c r="B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</row>
    <row r="73" spans="1:16" hidden="1">
      <c r="A73" s="127"/>
      <c r="B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</row>
    <row r="74" spans="1:16" hidden="1">
      <c r="A74" s="127"/>
      <c r="B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</row>
    <row r="75" spans="1:16" hidden="1">
      <c r="A75" s="127"/>
      <c r="B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</row>
    <row r="76" spans="1:16" hidden="1">
      <c r="A76" s="127"/>
      <c r="B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</row>
    <row r="77" spans="1:16" hidden="1">
      <c r="A77" s="127"/>
      <c r="B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</row>
    <row r="78" spans="1:16" hidden="1">
      <c r="A78" s="127"/>
      <c r="B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</row>
    <row r="79" spans="1:16" hidden="1">
      <c r="A79" s="127"/>
      <c r="B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</row>
    <row r="80" spans="1:16" hidden="1">
      <c r="A80" s="127"/>
      <c r="B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7"/>
    </row>
    <row r="81" spans="1:16" hidden="1">
      <c r="A81" s="127"/>
      <c r="B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7"/>
    </row>
    <row r="82" spans="1:16" hidden="1">
      <c r="A82" s="127"/>
      <c r="B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</row>
    <row r="83" spans="1:16" hidden="1">
      <c r="A83" s="127"/>
      <c r="B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</row>
    <row r="84" spans="1:16" hidden="1">
      <c r="A84" s="127"/>
      <c r="B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</row>
    <row r="85" spans="1:16" hidden="1">
      <c r="A85" s="127"/>
      <c r="B85" s="127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</row>
    <row r="86" spans="1:16" hidden="1">
      <c r="A86" s="127"/>
      <c r="B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</row>
    <row r="87" spans="1:16" hidden="1">
      <c r="A87" s="127"/>
      <c r="B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7"/>
    </row>
    <row r="88" spans="1:16" hidden="1">
      <c r="A88" s="127"/>
      <c r="B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</row>
    <row r="89" spans="1:16" hidden="1">
      <c r="A89" s="127"/>
      <c r="B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</row>
    <row r="90" spans="1:16" hidden="1">
      <c r="A90" s="127"/>
      <c r="B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7"/>
    </row>
    <row r="91" spans="1:16" hidden="1">
      <c r="A91" s="127"/>
      <c r="B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</row>
    <row r="92" spans="1:16" hidden="1">
      <c r="A92" s="127"/>
      <c r="B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</row>
    <row r="93" spans="1:16" hidden="1">
      <c r="A93" s="127"/>
      <c r="B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7"/>
    </row>
    <row r="94" spans="1:16" hidden="1">
      <c r="A94" s="127"/>
      <c r="B94" s="127"/>
      <c r="D94" s="127"/>
      <c r="E94" s="127"/>
      <c r="F94" s="127"/>
      <c r="G94" s="127"/>
      <c r="H94" s="127"/>
      <c r="I94" s="127"/>
      <c r="J94" s="127"/>
      <c r="K94" s="127"/>
      <c r="L94" s="127"/>
      <c r="M94" s="127"/>
      <c r="N94" s="127"/>
      <c r="O94" s="127"/>
      <c r="P94" s="127"/>
    </row>
    <row r="95" spans="1:16" hidden="1">
      <c r="A95" s="127"/>
      <c r="B95" s="127"/>
      <c r="D95" s="127"/>
      <c r="E95" s="127"/>
      <c r="F95" s="127"/>
      <c r="G95" s="127"/>
      <c r="H95" s="127"/>
      <c r="I95" s="127"/>
      <c r="J95" s="127"/>
      <c r="K95" s="127"/>
      <c r="L95" s="127"/>
      <c r="M95" s="127"/>
      <c r="N95" s="127"/>
      <c r="O95" s="127"/>
      <c r="P95" s="127"/>
    </row>
    <row r="96" spans="1:16" hidden="1">
      <c r="A96" s="127"/>
      <c r="B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</row>
    <row r="97" spans="1:16" hidden="1">
      <c r="A97" s="127"/>
      <c r="B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</row>
    <row r="98" spans="1:16" hidden="1">
      <c r="A98" s="127"/>
      <c r="B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</row>
    <row r="99" spans="1:16" hidden="1">
      <c r="A99" s="127"/>
      <c r="B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</row>
    <row r="100" spans="1:16" hidden="1">
      <c r="A100" s="127"/>
      <c r="B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</row>
    <row r="101" spans="1:16" hidden="1">
      <c r="A101" s="127"/>
      <c r="B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</row>
    <row r="102" spans="1:16" hidden="1">
      <c r="A102" s="127"/>
      <c r="B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</row>
    <row r="103" spans="1:16" hidden="1">
      <c r="A103" s="127"/>
      <c r="B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</row>
    <row r="104" spans="1:16" hidden="1">
      <c r="A104" s="127"/>
      <c r="B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</row>
    <row r="105" spans="1:16" hidden="1">
      <c r="A105" s="127"/>
      <c r="B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</row>
    <row r="106" spans="1:16" hidden="1">
      <c r="A106" s="127"/>
      <c r="B106" s="127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</row>
    <row r="107" spans="1:16" hidden="1">
      <c r="A107" s="127"/>
      <c r="B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7"/>
    </row>
    <row r="108" spans="1:16" hidden="1">
      <c r="A108" s="127"/>
      <c r="B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</row>
    <row r="109" spans="1:16" hidden="1">
      <c r="A109" s="127"/>
      <c r="B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</row>
    <row r="110" spans="1:16" hidden="1">
      <c r="A110" s="127"/>
      <c r="B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</row>
    <row r="111" spans="1:16" hidden="1">
      <c r="A111" s="127"/>
      <c r="B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</row>
    <row r="112" spans="1:16" hidden="1">
      <c r="A112" s="127"/>
      <c r="B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</row>
    <row r="113" spans="1:16" hidden="1">
      <c r="A113" s="127"/>
      <c r="B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  <c r="P113" s="127"/>
    </row>
    <row r="114" spans="1:16" hidden="1">
      <c r="A114" s="127"/>
      <c r="B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</row>
    <row r="115" spans="1:16" hidden="1">
      <c r="A115" s="127"/>
      <c r="B115" s="127"/>
      <c r="D115" s="127"/>
      <c r="E115" s="127"/>
      <c r="F115" s="127"/>
      <c r="G115" s="127"/>
      <c r="H115" s="127"/>
      <c r="I115" s="127"/>
      <c r="J115" s="127"/>
      <c r="K115" s="127"/>
      <c r="L115" s="127"/>
      <c r="M115" s="127"/>
      <c r="N115" s="127"/>
      <c r="O115" s="127"/>
      <c r="P115" s="127"/>
    </row>
    <row r="116" spans="1:16" hidden="1">
      <c r="A116" s="127"/>
      <c r="B116" s="127"/>
      <c r="D116" s="127"/>
      <c r="E116" s="127"/>
      <c r="F116" s="127"/>
      <c r="G116" s="127"/>
      <c r="H116" s="127"/>
      <c r="I116" s="127"/>
      <c r="J116" s="127"/>
      <c r="K116" s="127"/>
      <c r="L116" s="127"/>
      <c r="M116" s="127"/>
      <c r="N116" s="127"/>
      <c r="O116" s="127"/>
      <c r="P116" s="127"/>
    </row>
    <row r="117" spans="1:16" hidden="1">
      <c r="A117" s="127"/>
      <c r="B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7"/>
    </row>
    <row r="118" spans="1:16" hidden="1">
      <c r="A118" s="127"/>
      <c r="B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7"/>
    </row>
    <row r="119" spans="1:16" hidden="1">
      <c r="A119" s="127"/>
      <c r="B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7"/>
    </row>
    <row r="120" spans="1:16" hidden="1">
      <c r="A120" s="127"/>
      <c r="B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</row>
    <row r="121" spans="1:16" hidden="1">
      <c r="A121" s="127"/>
      <c r="B121" s="127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7"/>
    </row>
    <row r="122" spans="1:16" hidden="1">
      <c r="A122" s="127"/>
      <c r="B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7"/>
    </row>
    <row r="123" spans="1:16" hidden="1">
      <c r="A123" s="127"/>
      <c r="B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7"/>
    </row>
    <row r="124" spans="1:16" hidden="1">
      <c r="A124" s="127"/>
      <c r="B124" s="127"/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</row>
    <row r="125" spans="1:16" hidden="1">
      <c r="A125" s="127"/>
      <c r="B125" s="127"/>
      <c r="D125" s="127"/>
      <c r="E125" s="127"/>
      <c r="F125" s="127"/>
      <c r="G125" s="127"/>
      <c r="H125" s="127"/>
      <c r="I125" s="127"/>
      <c r="J125" s="127"/>
      <c r="K125" s="127"/>
      <c r="L125" s="127"/>
      <c r="M125" s="127"/>
      <c r="N125" s="127"/>
      <c r="O125" s="127"/>
      <c r="P125" s="127"/>
    </row>
    <row r="126" spans="1:16" hidden="1">
      <c r="A126" s="127"/>
      <c r="B126" s="127"/>
      <c r="D126" s="127"/>
      <c r="E126" s="127"/>
      <c r="F126" s="127"/>
      <c r="G126" s="127"/>
      <c r="H126" s="127"/>
      <c r="I126" s="127"/>
      <c r="J126" s="127"/>
      <c r="K126" s="127"/>
      <c r="L126" s="127"/>
      <c r="M126" s="127"/>
      <c r="N126" s="127"/>
      <c r="O126" s="127"/>
      <c r="P126" s="127"/>
    </row>
    <row r="127" spans="1:16" hidden="1">
      <c r="A127" s="127"/>
      <c r="B127" s="127"/>
      <c r="D127" s="127"/>
      <c r="E127" s="127"/>
      <c r="F127" s="127"/>
      <c r="G127" s="127"/>
      <c r="H127" s="127"/>
      <c r="I127" s="127"/>
      <c r="J127" s="127"/>
      <c r="K127" s="127"/>
      <c r="L127" s="127"/>
      <c r="M127" s="127"/>
      <c r="N127" s="127"/>
      <c r="O127" s="127"/>
      <c r="P127" s="127"/>
    </row>
    <row r="128" spans="1:16" hidden="1">
      <c r="A128" s="127"/>
      <c r="B128" s="127"/>
      <c r="D128" s="127"/>
      <c r="E128" s="127"/>
      <c r="F128" s="127"/>
      <c r="G128" s="127"/>
      <c r="H128" s="127"/>
      <c r="I128" s="127"/>
      <c r="J128" s="127"/>
      <c r="K128" s="127"/>
      <c r="L128" s="127"/>
      <c r="M128" s="127"/>
      <c r="N128" s="127"/>
      <c r="O128" s="127"/>
      <c r="P128" s="127"/>
    </row>
    <row r="129" spans="1:16" hidden="1">
      <c r="A129" s="127"/>
      <c r="B129" s="127"/>
      <c r="D129" s="127"/>
      <c r="E129" s="127"/>
      <c r="F129" s="127"/>
      <c r="G129" s="127"/>
      <c r="H129" s="127"/>
      <c r="I129" s="127"/>
      <c r="J129" s="127"/>
      <c r="K129" s="127"/>
      <c r="L129" s="127"/>
      <c r="M129" s="127"/>
      <c r="N129" s="127"/>
      <c r="O129" s="127"/>
      <c r="P129" s="127"/>
    </row>
    <row r="130" spans="1:16" hidden="1">
      <c r="A130" s="127"/>
      <c r="B130" s="127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</row>
    <row r="131" spans="1:16" hidden="1">
      <c r="A131" s="127"/>
      <c r="B131" s="127"/>
      <c r="D131" s="127"/>
      <c r="E131" s="127"/>
      <c r="F131" s="127"/>
      <c r="G131" s="127"/>
      <c r="H131" s="127"/>
      <c r="I131" s="127"/>
      <c r="J131" s="127"/>
      <c r="K131" s="127"/>
      <c r="L131" s="127"/>
      <c r="M131" s="127"/>
      <c r="N131" s="127"/>
      <c r="O131" s="127"/>
      <c r="P131" s="127"/>
    </row>
    <row r="132" spans="1:16" hidden="1">
      <c r="A132" s="127"/>
      <c r="B132" s="127"/>
      <c r="D132" s="127"/>
      <c r="E132" s="127"/>
      <c r="F132" s="127"/>
      <c r="G132" s="127"/>
      <c r="H132" s="127"/>
      <c r="I132" s="127"/>
      <c r="J132" s="127"/>
      <c r="K132" s="127"/>
      <c r="L132" s="127"/>
      <c r="M132" s="127"/>
      <c r="N132" s="127"/>
      <c r="O132" s="127"/>
      <c r="P132" s="127"/>
    </row>
    <row r="133" spans="1:16" hidden="1">
      <c r="A133" s="127"/>
      <c r="B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</row>
    <row r="134" spans="1:16" hidden="1">
      <c r="A134" s="127"/>
      <c r="B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</row>
    <row r="135" spans="1:16" hidden="1">
      <c r="A135" s="127"/>
      <c r="B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</row>
    <row r="136" spans="1:16" hidden="1">
      <c r="A136" s="127"/>
      <c r="B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</row>
    <row r="137" spans="1:16" hidden="1">
      <c r="A137" s="127"/>
      <c r="B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</row>
    <row r="138" spans="1:16" hidden="1">
      <c r="A138" s="127"/>
      <c r="B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</row>
    <row r="139" spans="1:16" hidden="1">
      <c r="A139" s="127"/>
      <c r="B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</row>
    <row r="140" spans="1:16" hidden="1">
      <c r="A140" s="127"/>
      <c r="B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</row>
    <row r="141" spans="1:16" hidden="1">
      <c r="A141" s="127"/>
      <c r="B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</row>
    <row r="142" spans="1:16" hidden="1">
      <c r="A142" s="127"/>
      <c r="B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</row>
    <row r="143" spans="1:16" hidden="1">
      <c r="A143" s="127"/>
      <c r="B143" s="127"/>
      <c r="D143" s="127"/>
      <c r="E143" s="127"/>
      <c r="F143" s="127"/>
      <c r="G143" s="127"/>
      <c r="H143" s="127"/>
      <c r="I143" s="127"/>
      <c r="J143" s="127"/>
      <c r="K143" s="127"/>
      <c r="L143" s="127"/>
      <c r="M143" s="127"/>
      <c r="N143" s="127"/>
      <c r="O143" s="127"/>
      <c r="P143" s="127"/>
    </row>
    <row r="144" spans="1:16" hidden="1">
      <c r="A144" s="127"/>
      <c r="B144" s="127"/>
      <c r="D144" s="127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  <c r="O144" s="127"/>
      <c r="P144" s="127"/>
    </row>
    <row r="145" spans="1:16" hidden="1">
      <c r="A145" s="127"/>
      <c r="B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</row>
    <row r="146" spans="1:16" hidden="1">
      <c r="A146" s="127"/>
      <c r="B146" s="127"/>
      <c r="D146" s="127"/>
      <c r="E146" s="127"/>
      <c r="F146" s="127"/>
      <c r="G146" s="127"/>
      <c r="H146" s="127"/>
      <c r="I146" s="127"/>
      <c r="J146" s="127"/>
      <c r="K146" s="127"/>
      <c r="L146" s="127"/>
      <c r="M146" s="127"/>
      <c r="N146" s="127"/>
      <c r="O146" s="127"/>
      <c r="P146" s="127"/>
    </row>
    <row r="147" spans="1:16" hidden="1">
      <c r="A147" s="127"/>
      <c r="B147" s="127"/>
      <c r="D147" s="127"/>
      <c r="E147" s="127"/>
      <c r="F147" s="127"/>
      <c r="G147" s="127"/>
      <c r="H147" s="127"/>
      <c r="I147" s="127"/>
      <c r="J147" s="127"/>
      <c r="K147" s="127"/>
      <c r="L147" s="127"/>
      <c r="M147" s="127"/>
      <c r="N147" s="127"/>
      <c r="O147" s="127"/>
      <c r="P147" s="127"/>
    </row>
    <row r="148" spans="1:16" hidden="1">
      <c r="A148" s="127"/>
      <c r="B148" s="127"/>
      <c r="D148" s="127"/>
      <c r="E148" s="127"/>
      <c r="F148" s="127"/>
      <c r="G148" s="127"/>
      <c r="H148" s="127"/>
      <c r="I148" s="127"/>
      <c r="J148" s="127"/>
      <c r="K148" s="127"/>
      <c r="L148" s="127"/>
      <c r="M148" s="127"/>
      <c r="N148" s="127"/>
      <c r="O148" s="127"/>
      <c r="P148" s="127"/>
    </row>
    <row r="149" spans="1:16" hidden="1">
      <c r="A149" s="127"/>
      <c r="B149" s="127"/>
      <c r="D149" s="127"/>
      <c r="E149" s="127"/>
      <c r="F149" s="127"/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</row>
  </sheetData>
  <dataConsolidate/>
  <mergeCells count="13">
    <mergeCell ref="A47:A48"/>
    <mergeCell ref="A12:A14"/>
    <mergeCell ref="A15:A17"/>
    <mergeCell ref="A23:A24"/>
    <mergeCell ref="A39:A40"/>
    <mergeCell ref="A41:A43"/>
    <mergeCell ref="A44:A46"/>
    <mergeCell ref="A9:A11"/>
    <mergeCell ref="A1:C1"/>
    <mergeCell ref="A2:C2"/>
    <mergeCell ref="A4:B5"/>
    <mergeCell ref="C4:C5"/>
    <mergeCell ref="A6:A8"/>
  </mergeCells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showGridLines="0" showZeros="0" tabSelected="1" workbookViewId="0">
      <pane ySplit="7" topLeftCell="A38" activePane="bottomLeft" state="frozen"/>
      <selection pane="bottomLeft" activeCell="G10" sqref="G10"/>
    </sheetView>
  </sheetViews>
  <sheetFormatPr defaultColWidth="0" defaultRowHeight="12.75" zeroHeight="1"/>
  <cols>
    <col min="1" max="1" width="4.5703125" style="127" customWidth="1"/>
    <col min="2" max="2" width="34.42578125" style="127" customWidth="1"/>
    <col min="3" max="3" width="7.5703125" style="102" bestFit="1" customWidth="1"/>
    <col min="4" max="4" width="9" style="102" customWidth="1"/>
    <col min="5" max="5" width="9.140625" style="102" customWidth="1"/>
    <col min="6" max="6" width="9.5703125" style="102" customWidth="1"/>
    <col min="7" max="8" width="9" style="102" customWidth="1"/>
    <col min="9" max="9" width="11.5703125" style="102" customWidth="1"/>
    <col min="10" max="10" width="9.42578125" style="127" customWidth="1"/>
    <col min="11" max="16384" width="0" style="127" hidden="1"/>
  </cols>
  <sheetData>
    <row r="1" spans="1:9">
      <c r="B1" s="696">
        <v>1</v>
      </c>
      <c r="C1" s="696"/>
      <c r="I1" s="128" t="s">
        <v>20</v>
      </c>
    </row>
    <row r="2" spans="1:9">
      <c r="B2" s="697" t="s">
        <v>21</v>
      </c>
      <c r="C2" s="697"/>
    </row>
    <row r="3" spans="1:9">
      <c r="A3" s="670"/>
      <c r="B3" s="697" t="str">
        <f>'ТИП-ПРОИЗ'!$B$3:$C$3</f>
        <v>"ТЕЦ Горна Оряховица" ЕАД</v>
      </c>
      <c r="C3" s="697"/>
      <c r="D3" s="670"/>
      <c r="E3" s="670"/>
      <c r="F3" s="670"/>
      <c r="G3" s="670"/>
      <c r="H3" s="670"/>
      <c r="I3" s="670"/>
    </row>
    <row r="4" spans="1:9" ht="12.75" customHeight="1" thickBot="1">
      <c r="A4" s="151"/>
      <c r="B4" s="151"/>
      <c r="C4" s="151"/>
      <c r="D4" s="151"/>
      <c r="E4" s="151"/>
      <c r="F4" s="151"/>
      <c r="G4" s="151"/>
      <c r="H4" s="151"/>
      <c r="I4" s="151"/>
    </row>
    <row r="5" spans="1:9" ht="13.5" thickTop="1">
      <c r="A5" s="690" t="s">
        <v>22</v>
      </c>
      <c r="B5" s="692" t="s">
        <v>23</v>
      </c>
      <c r="C5" s="692" t="s">
        <v>24</v>
      </c>
      <c r="D5" s="694">
        <f>'ТИП-ПРОИЗ'!E6</f>
        <v>2021.0000000000061</v>
      </c>
      <c r="E5" s="694"/>
      <c r="F5" s="694"/>
      <c r="G5" s="698">
        <f>'ТИП-ПРОИЗ'!F6</f>
        <v>7.2022000000000004</v>
      </c>
      <c r="H5" s="699"/>
      <c r="I5" s="700"/>
    </row>
    <row r="6" spans="1:9">
      <c r="A6" s="691"/>
      <c r="B6" s="693"/>
      <c r="C6" s="693"/>
      <c r="D6" s="152" t="s">
        <v>25</v>
      </c>
      <c r="E6" s="152" t="s">
        <v>26</v>
      </c>
      <c r="F6" s="153" t="s">
        <v>27</v>
      </c>
      <c r="G6" s="152" t="s">
        <v>25</v>
      </c>
      <c r="H6" s="152" t="s">
        <v>26</v>
      </c>
      <c r="I6" s="501" t="s">
        <v>27</v>
      </c>
    </row>
    <row r="7" spans="1:9">
      <c r="A7" s="154">
        <v>1</v>
      </c>
      <c r="B7" s="155">
        <v>2</v>
      </c>
      <c r="C7" s="155">
        <v>3</v>
      </c>
      <c r="D7" s="155">
        <v>4</v>
      </c>
      <c r="E7" s="155">
        <v>5</v>
      </c>
      <c r="F7" s="155" t="s">
        <v>28</v>
      </c>
      <c r="G7" s="155">
        <v>7</v>
      </c>
      <c r="H7" s="155">
        <v>8</v>
      </c>
      <c r="I7" s="156" t="s">
        <v>29</v>
      </c>
    </row>
    <row r="8" spans="1:9">
      <c r="A8" s="157" t="s">
        <v>30</v>
      </c>
      <c r="B8" s="158" t="s">
        <v>31</v>
      </c>
      <c r="C8" s="159" t="s">
        <v>32</v>
      </c>
      <c r="D8" s="125">
        <f>SUM(D9:D10)</f>
        <v>7872.4850160000005</v>
      </c>
      <c r="E8" s="125">
        <f>SUM(E9:E10)</f>
        <v>0</v>
      </c>
      <c r="F8" s="160">
        <f>SUM(D8:E8)</f>
        <v>7872.4850160000005</v>
      </c>
      <c r="G8" s="125">
        <f>SUM(G9:G10)</f>
        <v>22764.1054344</v>
      </c>
      <c r="H8" s="125">
        <f>SUM(H9:H10)</f>
        <v>0</v>
      </c>
      <c r="I8" s="161">
        <f>SUM(G8:H8)</f>
        <v>22764.1054344</v>
      </c>
    </row>
    <row r="9" spans="1:9">
      <c r="A9" s="162" t="s">
        <v>33</v>
      </c>
      <c r="B9" s="163" t="s">
        <v>34</v>
      </c>
      <c r="C9" s="164" t="s">
        <v>32</v>
      </c>
      <c r="D9" s="165">
        <f>РБА!D76*НВ!F$21</f>
        <v>386.9298</v>
      </c>
      <c r="E9" s="165">
        <f>РБА!E76*НВ!F$21</f>
        <v>0</v>
      </c>
      <c r="F9" s="166">
        <f>SUM(D9,E9)</f>
        <v>386.9298</v>
      </c>
      <c r="G9" s="165">
        <f>РБА!G76*НВ!G$21</f>
        <v>284.09831600000001</v>
      </c>
      <c r="H9" s="165">
        <f>РБА!H76*НВ!G$21</f>
        <v>0</v>
      </c>
      <c r="I9" s="167">
        <f>SUM(G9,H9)</f>
        <v>284.09831600000001</v>
      </c>
    </row>
    <row r="10" spans="1:9" ht="25.5">
      <c r="A10" s="157" t="s">
        <v>35</v>
      </c>
      <c r="B10" s="168" t="s">
        <v>36</v>
      </c>
      <c r="C10" s="169" t="s">
        <v>32</v>
      </c>
      <c r="D10" s="125">
        <f>SUM(D11,D61)</f>
        <v>7485.5552160000007</v>
      </c>
      <c r="E10" s="125">
        <f>SUM(E11,E61)</f>
        <v>0</v>
      </c>
      <c r="F10" s="160">
        <f t="shared" ref="F10:F27" si="0">SUM(D10:E10)</f>
        <v>7485.5552160000007</v>
      </c>
      <c r="G10" s="125">
        <f>SUM(G11,G61)</f>
        <v>22480.007118400001</v>
      </c>
      <c r="H10" s="125">
        <f>SUM(H11,H61)</f>
        <v>0</v>
      </c>
      <c r="I10" s="161">
        <f t="shared" ref="I10:I27" si="1">SUM(G10:H10)</f>
        <v>22480.007118400001</v>
      </c>
    </row>
    <row r="11" spans="1:9">
      <c r="A11" s="170" t="s">
        <v>37</v>
      </c>
      <c r="B11" s="171" t="s">
        <v>38</v>
      </c>
      <c r="C11" s="172" t="s">
        <v>32</v>
      </c>
      <c r="D11" s="125">
        <f>SUM(D13,D18,D23:D24,D27,-D59,-D60)</f>
        <v>2528.8940000000002</v>
      </c>
      <c r="E11" s="125">
        <f>SUM(E13,E18,E23:E24,E27,-E59,-E60)</f>
        <v>0</v>
      </c>
      <c r="F11" s="125">
        <f t="shared" si="0"/>
        <v>2528.8940000000002</v>
      </c>
      <c r="G11" s="125">
        <f>SUM(G13,G18,G23:G24,G27,-G59,-G60)</f>
        <v>2850.8940000000002</v>
      </c>
      <c r="H11" s="125">
        <f>SUM(H13,H18,H23:H24,H27,-H59,-H60)</f>
        <v>0</v>
      </c>
      <c r="I11" s="173">
        <f t="shared" si="1"/>
        <v>2850.8940000000002</v>
      </c>
    </row>
    <row r="12" spans="1:9">
      <c r="A12" s="170" t="s">
        <v>39</v>
      </c>
      <c r="B12" s="174" t="s">
        <v>40</v>
      </c>
      <c r="C12" s="172" t="s">
        <v>32</v>
      </c>
      <c r="D12" s="125">
        <f>SUM(D11,-D13)</f>
        <v>1991.0000000000002</v>
      </c>
      <c r="E12" s="125">
        <f>SUM(E11,-E13)</f>
        <v>0</v>
      </c>
      <c r="F12" s="125">
        <f t="shared" si="0"/>
        <v>1991.0000000000002</v>
      </c>
      <c r="G12" s="125">
        <f>SUM(G11,-G13)</f>
        <v>2313</v>
      </c>
      <c r="H12" s="125">
        <f>SUM(H11,-H13)</f>
        <v>0</v>
      </c>
      <c r="I12" s="173">
        <f t="shared" si="1"/>
        <v>2313</v>
      </c>
    </row>
    <row r="13" spans="1:9">
      <c r="A13" s="175">
        <v>1</v>
      </c>
      <c r="B13" s="176" t="s">
        <v>41</v>
      </c>
      <c r="C13" s="177" t="s">
        <v>32</v>
      </c>
      <c r="D13" s="107">
        <f>SUM(D14:D15,D17)</f>
        <v>537.89400000000001</v>
      </c>
      <c r="E13" s="107">
        <f>SUM(E14:E15,E17)</f>
        <v>0</v>
      </c>
      <c r="F13" s="107">
        <f t="shared" si="0"/>
        <v>537.89400000000001</v>
      </c>
      <c r="G13" s="107">
        <f>SUM(G14:G15,G17)</f>
        <v>537.89400000000001</v>
      </c>
      <c r="H13" s="107">
        <f>SUM(H14:H15,H17)</f>
        <v>0</v>
      </c>
      <c r="I13" s="178">
        <f t="shared" si="1"/>
        <v>537.89400000000001</v>
      </c>
    </row>
    <row r="14" spans="1:9">
      <c r="A14" s="179" t="s">
        <v>42</v>
      </c>
      <c r="B14" s="115" t="s">
        <v>43</v>
      </c>
      <c r="C14" s="177" t="s">
        <v>32</v>
      </c>
      <c r="D14" s="77">
        <v>76.227999999999994</v>
      </c>
      <c r="E14" s="65"/>
      <c r="F14" s="116">
        <f t="shared" si="0"/>
        <v>76.227999999999994</v>
      </c>
      <c r="G14" s="77">
        <v>76.227999999999994</v>
      </c>
      <c r="H14" s="65"/>
      <c r="I14" s="180">
        <f t="shared" si="1"/>
        <v>76.227999999999994</v>
      </c>
    </row>
    <row r="15" spans="1:9">
      <c r="A15" s="179" t="s">
        <v>44</v>
      </c>
      <c r="B15" s="115" t="s">
        <v>45</v>
      </c>
      <c r="C15" s="177" t="s">
        <v>32</v>
      </c>
      <c r="D15" s="77">
        <v>51.058999999999997</v>
      </c>
      <c r="E15" s="9"/>
      <c r="F15" s="116">
        <f t="shared" si="0"/>
        <v>51.058999999999997</v>
      </c>
      <c r="G15" s="77">
        <v>51.058999999999997</v>
      </c>
      <c r="H15" s="9"/>
      <c r="I15" s="180">
        <f t="shared" si="1"/>
        <v>51.058999999999997</v>
      </c>
    </row>
    <row r="16" spans="1:9">
      <c r="A16" s="179"/>
      <c r="B16" s="115" t="s">
        <v>46</v>
      </c>
      <c r="C16" s="177" t="s">
        <v>32</v>
      </c>
      <c r="D16" s="77"/>
      <c r="E16" s="65"/>
      <c r="F16" s="116"/>
      <c r="G16" s="77"/>
      <c r="H16" s="65"/>
      <c r="I16" s="180"/>
    </row>
    <row r="17" spans="1:9">
      <c r="A17" s="179" t="s">
        <v>47</v>
      </c>
      <c r="B17" s="115" t="s">
        <v>48</v>
      </c>
      <c r="C17" s="177" t="s">
        <v>32</v>
      </c>
      <c r="D17" s="77">
        <v>410.60700000000003</v>
      </c>
      <c r="E17" s="65"/>
      <c r="F17" s="116">
        <f t="shared" si="0"/>
        <v>410.60700000000003</v>
      </c>
      <c r="G17" s="77">
        <v>410.60700000000003</v>
      </c>
      <c r="H17" s="65"/>
      <c r="I17" s="180">
        <f t="shared" si="1"/>
        <v>410.60700000000003</v>
      </c>
    </row>
    <row r="18" spans="1:9">
      <c r="A18" s="175">
        <v>2</v>
      </c>
      <c r="B18" s="176" t="s">
        <v>49</v>
      </c>
      <c r="C18" s="177" t="s">
        <v>32</v>
      </c>
      <c r="D18" s="107">
        <f>SUM(D19:D20,D22)</f>
        <v>82</v>
      </c>
      <c r="E18" s="107">
        <f>SUM(E19:E20,E22)</f>
        <v>0</v>
      </c>
      <c r="F18" s="107">
        <f t="shared" si="0"/>
        <v>82</v>
      </c>
      <c r="G18" s="107">
        <f>SUM(G19:G20,G22)</f>
        <v>117</v>
      </c>
      <c r="H18" s="107">
        <f>SUM(H19:H20,H22)</f>
        <v>0</v>
      </c>
      <c r="I18" s="178">
        <f t="shared" si="1"/>
        <v>117</v>
      </c>
    </row>
    <row r="19" spans="1:9">
      <c r="A19" s="181" t="s">
        <v>50</v>
      </c>
      <c r="B19" s="116" t="s">
        <v>51</v>
      </c>
      <c r="C19" s="177" t="s">
        <v>32</v>
      </c>
      <c r="D19" s="77"/>
      <c r="E19" s="65"/>
      <c r="F19" s="116">
        <f t="shared" si="0"/>
        <v>0</v>
      </c>
      <c r="G19" s="77"/>
      <c r="H19" s="65"/>
      <c r="I19" s="180">
        <f t="shared" si="1"/>
        <v>0</v>
      </c>
    </row>
    <row r="20" spans="1:9">
      <c r="A20" s="181" t="s">
        <v>52</v>
      </c>
      <c r="B20" s="115" t="s">
        <v>45</v>
      </c>
      <c r="C20" s="177" t="s">
        <v>32</v>
      </c>
      <c r="D20" s="77"/>
      <c r="E20" s="9"/>
      <c r="F20" s="116">
        <f t="shared" si="0"/>
        <v>0</v>
      </c>
      <c r="G20" s="77"/>
      <c r="H20" s="9"/>
      <c r="I20" s="180">
        <f t="shared" si="1"/>
        <v>0</v>
      </c>
    </row>
    <row r="21" spans="1:9">
      <c r="A21" s="181"/>
      <c r="B21" s="115" t="s">
        <v>53</v>
      </c>
      <c r="C21" s="177"/>
      <c r="D21" s="77"/>
      <c r="E21" s="65"/>
      <c r="F21" s="116"/>
      <c r="G21" s="77"/>
      <c r="H21" s="65"/>
      <c r="I21" s="180"/>
    </row>
    <row r="22" spans="1:9">
      <c r="A22" s="181" t="s">
        <v>54</v>
      </c>
      <c r="B22" s="115" t="s">
        <v>48</v>
      </c>
      <c r="C22" s="177" t="s">
        <v>32</v>
      </c>
      <c r="D22" s="77">
        <v>82</v>
      </c>
      <c r="E22" s="65"/>
      <c r="F22" s="116">
        <f t="shared" si="0"/>
        <v>82</v>
      </c>
      <c r="G22" s="77">
        <v>117</v>
      </c>
      <c r="H22" s="65"/>
      <c r="I22" s="180">
        <f t="shared" si="1"/>
        <v>117</v>
      </c>
    </row>
    <row r="23" spans="1:9">
      <c r="A23" s="175">
        <v>3</v>
      </c>
      <c r="B23" s="176" t="s">
        <v>55</v>
      </c>
      <c r="C23" s="177" t="s">
        <v>32</v>
      </c>
      <c r="D23" s="77">
        <v>1107</v>
      </c>
      <c r="E23" s="9"/>
      <c r="F23" s="107">
        <f t="shared" si="0"/>
        <v>1107</v>
      </c>
      <c r="G23" s="77">
        <v>1246</v>
      </c>
      <c r="H23" s="9"/>
      <c r="I23" s="178">
        <f t="shared" si="1"/>
        <v>1246</v>
      </c>
    </row>
    <row r="24" spans="1:9" ht="25.5" customHeight="1">
      <c r="A24" s="175">
        <v>4</v>
      </c>
      <c r="B24" s="182" t="s">
        <v>56</v>
      </c>
      <c r="C24" s="177" t="s">
        <v>32</v>
      </c>
      <c r="D24" s="115">
        <f>SUM(D25:D26)</f>
        <v>278</v>
      </c>
      <c r="E24" s="183">
        <f>SUM(E25:E26)</f>
        <v>0</v>
      </c>
      <c r="F24" s="107">
        <f t="shared" si="0"/>
        <v>278</v>
      </c>
      <c r="G24" s="115">
        <f>SUM(G25:G26)</f>
        <v>353</v>
      </c>
      <c r="H24" s="183">
        <f>SUM(H25:H26)</f>
        <v>0</v>
      </c>
      <c r="I24" s="178">
        <f t="shared" si="1"/>
        <v>353</v>
      </c>
    </row>
    <row r="25" spans="1:9">
      <c r="A25" s="179" t="s">
        <v>57</v>
      </c>
      <c r="B25" s="184" t="s">
        <v>58</v>
      </c>
      <c r="C25" s="177" t="s">
        <v>32</v>
      </c>
      <c r="D25" s="49">
        <v>278</v>
      </c>
      <c r="E25" s="9"/>
      <c r="F25" s="107">
        <f t="shared" si="0"/>
        <v>278</v>
      </c>
      <c r="G25" s="49">
        <v>353</v>
      </c>
      <c r="H25" s="9"/>
      <c r="I25" s="178">
        <f t="shared" si="1"/>
        <v>353</v>
      </c>
    </row>
    <row r="26" spans="1:9">
      <c r="A26" s="179" t="s">
        <v>59</v>
      </c>
      <c r="B26" s="184" t="s">
        <v>60</v>
      </c>
      <c r="C26" s="177" t="s">
        <v>32</v>
      </c>
      <c r="D26" s="49"/>
      <c r="E26" s="9"/>
      <c r="F26" s="107">
        <f t="shared" si="0"/>
        <v>0</v>
      </c>
      <c r="G26" s="49"/>
      <c r="H26" s="9"/>
      <c r="I26" s="178">
        <f t="shared" si="1"/>
        <v>0</v>
      </c>
    </row>
    <row r="27" spans="1:9" ht="25.5">
      <c r="A27" s="175">
        <v>5</v>
      </c>
      <c r="B27" s="176" t="s">
        <v>61</v>
      </c>
      <c r="C27" s="177" t="s">
        <v>32</v>
      </c>
      <c r="D27" s="116">
        <f>SUM(D28:D57)</f>
        <v>524</v>
      </c>
      <c r="E27" s="185">
        <f>SUM(E28:E57)</f>
        <v>0</v>
      </c>
      <c r="F27" s="107">
        <f t="shared" si="0"/>
        <v>524</v>
      </c>
      <c r="G27" s="116">
        <f>SUM(G28:G57)</f>
        <v>597</v>
      </c>
      <c r="H27" s="185">
        <f>SUM(H28:H57)</f>
        <v>0</v>
      </c>
      <c r="I27" s="178">
        <f t="shared" si="1"/>
        <v>597</v>
      </c>
    </row>
    <row r="28" spans="1:9">
      <c r="A28" s="179" t="s">
        <v>62</v>
      </c>
      <c r="B28" s="184" t="s">
        <v>63</v>
      </c>
      <c r="C28" s="177" t="s">
        <v>32</v>
      </c>
      <c r="D28" s="49">
        <v>46</v>
      </c>
      <c r="E28" s="9"/>
      <c r="F28" s="116">
        <f t="shared" ref="F28:F78" si="2">SUM(D28:E28)</f>
        <v>46</v>
      </c>
      <c r="G28" s="49">
        <v>50</v>
      </c>
      <c r="H28" s="9"/>
      <c r="I28" s="180">
        <f t="shared" ref="I28:I51" si="3">SUM(G28:H28)</f>
        <v>50</v>
      </c>
    </row>
    <row r="29" spans="1:9">
      <c r="A29" s="179" t="s">
        <v>64</v>
      </c>
      <c r="B29" s="184" t="s">
        <v>65</v>
      </c>
      <c r="C29" s="177" t="s">
        <v>32</v>
      </c>
      <c r="D29" s="49">
        <v>6</v>
      </c>
      <c r="E29" s="9"/>
      <c r="F29" s="116">
        <f t="shared" si="2"/>
        <v>6</v>
      </c>
      <c r="G29" s="49">
        <v>8</v>
      </c>
      <c r="H29" s="9"/>
      <c r="I29" s="180">
        <f t="shared" si="3"/>
        <v>8</v>
      </c>
    </row>
    <row r="30" spans="1:9">
      <c r="A30" s="179" t="s">
        <v>66</v>
      </c>
      <c r="B30" s="184" t="s">
        <v>67</v>
      </c>
      <c r="C30" s="177" t="s">
        <v>32</v>
      </c>
      <c r="D30" s="49">
        <v>3</v>
      </c>
      <c r="E30" s="9"/>
      <c r="F30" s="116">
        <f t="shared" si="2"/>
        <v>3</v>
      </c>
      <c r="G30" s="49">
        <v>4</v>
      </c>
      <c r="H30" s="9"/>
      <c r="I30" s="180">
        <f t="shared" si="3"/>
        <v>4</v>
      </c>
    </row>
    <row r="31" spans="1:9">
      <c r="A31" s="179" t="s">
        <v>68</v>
      </c>
      <c r="B31" s="184" t="s">
        <v>69</v>
      </c>
      <c r="C31" s="177" t="s">
        <v>32</v>
      </c>
      <c r="D31" s="49">
        <v>45</v>
      </c>
      <c r="E31" s="9"/>
      <c r="F31" s="116">
        <f t="shared" si="2"/>
        <v>45</v>
      </c>
      <c r="G31" s="49">
        <v>50</v>
      </c>
      <c r="H31" s="9"/>
      <c r="I31" s="180">
        <f t="shared" si="3"/>
        <v>50</v>
      </c>
    </row>
    <row r="32" spans="1:9">
      <c r="A32" s="179" t="s">
        <v>70</v>
      </c>
      <c r="B32" s="184" t="s">
        <v>71</v>
      </c>
      <c r="C32" s="177" t="s">
        <v>32</v>
      </c>
      <c r="D32" s="49">
        <v>40</v>
      </c>
      <c r="E32" s="9"/>
      <c r="F32" s="116">
        <f t="shared" si="2"/>
        <v>40</v>
      </c>
      <c r="G32" s="49">
        <v>46</v>
      </c>
      <c r="H32" s="9"/>
      <c r="I32" s="180">
        <f t="shared" si="3"/>
        <v>46</v>
      </c>
    </row>
    <row r="33" spans="1:9">
      <c r="A33" s="179" t="s">
        <v>72</v>
      </c>
      <c r="B33" s="184" t="s">
        <v>73</v>
      </c>
      <c r="C33" s="177" t="s">
        <v>32</v>
      </c>
      <c r="D33" s="49">
        <v>10</v>
      </c>
      <c r="E33" s="9"/>
      <c r="F33" s="116">
        <f t="shared" si="2"/>
        <v>10</v>
      </c>
      <c r="G33" s="49">
        <v>10</v>
      </c>
      <c r="H33" s="9"/>
      <c r="I33" s="180">
        <f t="shared" si="3"/>
        <v>10</v>
      </c>
    </row>
    <row r="34" spans="1:9" ht="25.5">
      <c r="A34" s="179" t="s">
        <v>74</v>
      </c>
      <c r="B34" s="184" t="s">
        <v>75</v>
      </c>
      <c r="C34" s="177" t="s">
        <v>32</v>
      </c>
      <c r="D34" s="49">
        <v>6</v>
      </c>
      <c r="E34" s="9"/>
      <c r="F34" s="116">
        <f t="shared" si="2"/>
        <v>6</v>
      </c>
      <c r="G34" s="49">
        <v>7</v>
      </c>
      <c r="H34" s="9"/>
      <c r="I34" s="180">
        <f t="shared" si="3"/>
        <v>7</v>
      </c>
    </row>
    <row r="35" spans="1:9">
      <c r="A35" s="179" t="s">
        <v>76</v>
      </c>
      <c r="B35" s="184" t="s">
        <v>77</v>
      </c>
      <c r="C35" s="177" t="s">
        <v>32</v>
      </c>
      <c r="D35" s="49">
        <v>77</v>
      </c>
      <c r="E35" s="9"/>
      <c r="F35" s="116">
        <f t="shared" si="2"/>
        <v>77</v>
      </c>
      <c r="G35" s="49">
        <v>92</v>
      </c>
      <c r="H35" s="9"/>
      <c r="I35" s="180">
        <f t="shared" si="3"/>
        <v>92</v>
      </c>
    </row>
    <row r="36" spans="1:9">
      <c r="A36" s="179" t="s">
        <v>78</v>
      </c>
      <c r="B36" s="184" t="s">
        <v>79</v>
      </c>
      <c r="C36" s="177" t="s">
        <v>32</v>
      </c>
      <c r="D36" s="49">
        <v>104</v>
      </c>
      <c r="E36" s="9"/>
      <c r="F36" s="116">
        <f t="shared" si="2"/>
        <v>104</v>
      </c>
      <c r="G36" s="49">
        <v>144</v>
      </c>
      <c r="H36" s="9"/>
      <c r="I36" s="180">
        <f t="shared" si="3"/>
        <v>144</v>
      </c>
    </row>
    <row r="37" spans="1:9">
      <c r="A37" s="179" t="s">
        <v>80</v>
      </c>
      <c r="B37" s="184" t="s">
        <v>81</v>
      </c>
      <c r="C37" s="177" t="s">
        <v>32</v>
      </c>
      <c r="D37" s="49">
        <v>103</v>
      </c>
      <c r="E37" s="9"/>
      <c r="F37" s="116">
        <f t="shared" si="2"/>
        <v>103</v>
      </c>
      <c r="G37" s="49">
        <v>103</v>
      </c>
      <c r="H37" s="9"/>
      <c r="I37" s="180">
        <f t="shared" si="3"/>
        <v>103</v>
      </c>
    </row>
    <row r="38" spans="1:9">
      <c r="A38" s="179" t="s">
        <v>82</v>
      </c>
      <c r="B38" s="184" t="s">
        <v>83</v>
      </c>
      <c r="C38" s="177" t="s">
        <v>32</v>
      </c>
      <c r="D38" s="49">
        <v>6</v>
      </c>
      <c r="E38" s="9"/>
      <c r="F38" s="116">
        <f t="shared" si="2"/>
        <v>6</v>
      </c>
      <c r="G38" s="49">
        <v>6</v>
      </c>
      <c r="H38" s="9"/>
      <c r="I38" s="180">
        <f t="shared" si="3"/>
        <v>6</v>
      </c>
    </row>
    <row r="39" spans="1:9">
      <c r="A39" s="179" t="s">
        <v>84</v>
      </c>
      <c r="B39" s="184" t="s">
        <v>85</v>
      </c>
      <c r="C39" s="177" t="s">
        <v>32</v>
      </c>
      <c r="D39" s="49">
        <v>1</v>
      </c>
      <c r="E39" s="9"/>
      <c r="F39" s="116">
        <f t="shared" si="2"/>
        <v>1</v>
      </c>
      <c r="G39" s="49">
        <v>1</v>
      </c>
      <c r="H39" s="9"/>
      <c r="I39" s="180">
        <f t="shared" si="3"/>
        <v>1</v>
      </c>
    </row>
    <row r="40" spans="1:9">
      <c r="A40" s="179" t="s">
        <v>86</v>
      </c>
      <c r="B40" s="184" t="s">
        <v>87</v>
      </c>
      <c r="C40" s="177" t="s">
        <v>32</v>
      </c>
      <c r="D40" s="49">
        <v>4</v>
      </c>
      <c r="E40" s="9"/>
      <c r="F40" s="116">
        <f t="shared" si="2"/>
        <v>4</v>
      </c>
      <c r="G40" s="49">
        <v>1</v>
      </c>
      <c r="H40" s="59"/>
      <c r="I40" s="180">
        <f t="shared" si="3"/>
        <v>1</v>
      </c>
    </row>
    <row r="41" spans="1:9">
      <c r="A41" s="179" t="s">
        <v>88</v>
      </c>
      <c r="B41" s="184" t="s">
        <v>89</v>
      </c>
      <c r="C41" s="177" t="s">
        <v>32</v>
      </c>
      <c r="D41" s="49">
        <v>7</v>
      </c>
      <c r="E41" s="9"/>
      <c r="F41" s="116">
        <f t="shared" si="2"/>
        <v>7</v>
      </c>
      <c r="G41" s="49">
        <v>9</v>
      </c>
      <c r="H41" s="9"/>
      <c r="I41" s="180">
        <f t="shared" si="3"/>
        <v>9</v>
      </c>
    </row>
    <row r="42" spans="1:9" ht="25.5">
      <c r="A42" s="179" t="s">
        <v>90</v>
      </c>
      <c r="B42" s="184" t="s">
        <v>91</v>
      </c>
      <c r="C42" s="177" t="s">
        <v>32</v>
      </c>
      <c r="D42" s="49">
        <v>55</v>
      </c>
      <c r="E42" s="9"/>
      <c r="F42" s="115">
        <f t="shared" ref="F42:F51" si="4">SUM(D42:E42)</f>
        <v>55</v>
      </c>
      <c r="G42" s="49">
        <v>55</v>
      </c>
      <c r="H42" s="63"/>
      <c r="I42" s="502">
        <f t="shared" si="3"/>
        <v>55</v>
      </c>
    </row>
    <row r="43" spans="1:9">
      <c r="A43" s="179" t="s">
        <v>92</v>
      </c>
      <c r="B43" s="184" t="s">
        <v>93</v>
      </c>
      <c r="C43" s="177" t="s">
        <v>32</v>
      </c>
      <c r="D43" s="49">
        <v>1</v>
      </c>
      <c r="E43" s="9"/>
      <c r="F43" s="115">
        <f t="shared" si="4"/>
        <v>1</v>
      </c>
      <c r="G43" s="49">
        <v>1</v>
      </c>
      <c r="H43" s="64"/>
      <c r="I43" s="502">
        <f t="shared" si="3"/>
        <v>1</v>
      </c>
    </row>
    <row r="44" spans="1:9">
      <c r="A44" s="179" t="s">
        <v>94</v>
      </c>
      <c r="B44" s="184" t="s">
        <v>95</v>
      </c>
      <c r="C44" s="177" t="s">
        <v>32</v>
      </c>
      <c r="D44" s="49">
        <v>1</v>
      </c>
      <c r="E44" s="9"/>
      <c r="F44" s="115">
        <f t="shared" si="4"/>
        <v>1</v>
      </c>
      <c r="G44" s="49">
        <v>1</v>
      </c>
      <c r="H44" s="64"/>
      <c r="I44" s="502">
        <f t="shared" si="3"/>
        <v>1</v>
      </c>
    </row>
    <row r="45" spans="1:9">
      <c r="A45" s="179" t="s">
        <v>96</v>
      </c>
      <c r="B45" s="184" t="s">
        <v>97</v>
      </c>
      <c r="C45" s="177" t="s">
        <v>32</v>
      </c>
      <c r="D45" s="49">
        <v>1</v>
      </c>
      <c r="E45" s="9"/>
      <c r="F45" s="115">
        <f t="shared" si="4"/>
        <v>1</v>
      </c>
      <c r="G45" s="49">
        <v>1</v>
      </c>
      <c r="H45" s="64"/>
      <c r="I45" s="502">
        <f t="shared" si="3"/>
        <v>1</v>
      </c>
    </row>
    <row r="46" spans="1:9">
      <c r="A46" s="179" t="s">
        <v>98</v>
      </c>
      <c r="B46" s="186" t="s">
        <v>99</v>
      </c>
      <c r="C46" s="177" t="s">
        <v>32</v>
      </c>
      <c r="D46" s="49">
        <v>3</v>
      </c>
      <c r="E46" s="9"/>
      <c r="F46" s="115">
        <f t="shared" si="4"/>
        <v>3</v>
      </c>
      <c r="G46" s="49">
        <v>3</v>
      </c>
      <c r="H46" s="9"/>
      <c r="I46" s="502">
        <f t="shared" si="3"/>
        <v>3</v>
      </c>
    </row>
    <row r="47" spans="1:9">
      <c r="A47" s="179" t="s">
        <v>100</v>
      </c>
      <c r="B47" s="186" t="s">
        <v>101</v>
      </c>
      <c r="C47" s="177" t="s">
        <v>32</v>
      </c>
      <c r="D47" s="49"/>
      <c r="E47" s="9"/>
      <c r="F47" s="115">
        <f t="shared" si="4"/>
        <v>0</v>
      </c>
      <c r="G47" s="49"/>
      <c r="H47" s="9"/>
      <c r="I47" s="502">
        <f t="shared" si="3"/>
        <v>0</v>
      </c>
    </row>
    <row r="48" spans="1:9">
      <c r="A48" s="179" t="s">
        <v>102</v>
      </c>
      <c r="B48" s="186" t="s">
        <v>103</v>
      </c>
      <c r="C48" s="177" t="s">
        <v>32</v>
      </c>
      <c r="D48" s="49"/>
      <c r="E48" s="9"/>
      <c r="F48" s="115">
        <f t="shared" si="4"/>
        <v>0</v>
      </c>
      <c r="G48" s="49"/>
      <c r="H48" s="9"/>
      <c r="I48" s="502">
        <f t="shared" si="3"/>
        <v>0</v>
      </c>
    </row>
    <row r="49" spans="1:9">
      <c r="A49" s="179" t="s">
        <v>104</v>
      </c>
      <c r="B49" s="187" t="s">
        <v>105</v>
      </c>
      <c r="C49" s="177" t="s">
        <v>32</v>
      </c>
      <c r="D49" s="49">
        <v>5</v>
      </c>
      <c r="E49" s="9"/>
      <c r="F49" s="115">
        <f t="shared" si="4"/>
        <v>5</v>
      </c>
      <c r="G49" s="49">
        <v>5</v>
      </c>
      <c r="H49" s="9"/>
      <c r="I49" s="502">
        <f t="shared" si="3"/>
        <v>5</v>
      </c>
    </row>
    <row r="50" spans="1:9">
      <c r="A50" s="179" t="s">
        <v>106</v>
      </c>
      <c r="B50" s="188" t="s">
        <v>107</v>
      </c>
      <c r="C50" s="177" t="s">
        <v>32</v>
      </c>
      <c r="D50" s="49"/>
      <c r="E50" s="9"/>
      <c r="F50" s="116">
        <f t="shared" si="4"/>
        <v>0</v>
      </c>
      <c r="G50" s="49"/>
      <c r="H50" s="59"/>
      <c r="I50" s="180">
        <f t="shared" si="3"/>
        <v>0</v>
      </c>
    </row>
    <row r="51" spans="1:9">
      <c r="A51" s="179" t="s">
        <v>108</v>
      </c>
      <c r="B51" s="188"/>
      <c r="C51" s="177" t="s">
        <v>32</v>
      </c>
      <c r="D51" s="77"/>
      <c r="E51" s="9"/>
      <c r="F51" s="115">
        <f t="shared" si="4"/>
        <v>0</v>
      </c>
      <c r="G51" s="77"/>
      <c r="H51" s="9"/>
      <c r="I51" s="502">
        <f t="shared" si="3"/>
        <v>0</v>
      </c>
    </row>
    <row r="52" spans="1:9">
      <c r="A52" s="179" t="s">
        <v>109</v>
      </c>
      <c r="B52" s="189"/>
      <c r="C52" s="177"/>
      <c r="D52" s="49"/>
      <c r="E52" s="9"/>
      <c r="F52" s="115"/>
      <c r="G52" s="49"/>
      <c r="H52" s="9"/>
      <c r="I52" s="502"/>
    </row>
    <row r="53" spans="1:9">
      <c r="A53" s="179" t="s">
        <v>110</v>
      </c>
      <c r="B53" s="189"/>
      <c r="C53" s="177"/>
      <c r="D53" s="49"/>
      <c r="E53" s="9"/>
      <c r="F53" s="115"/>
      <c r="G53" s="49"/>
      <c r="H53" s="9"/>
      <c r="I53" s="502"/>
    </row>
    <row r="54" spans="1:9">
      <c r="A54" s="179" t="s">
        <v>111</v>
      </c>
      <c r="B54" s="189"/>
      <c r="C54" s="177"/>
      <c r="D54" s="49"/>
      <c r="E54" s="9"/>
      <c r="F54" s="115"/>
      <c r="G54" s="49"/>
      <c r="H54" s="9"/>
      <c r="I54" s="502"/>
    </row>
    <row r="55" spans="1:9">
      <c r="A55" s="179" t="s">
        <v>112</v>
      </c>
      <c r="B55" s="189"/>
      <c r="C55" s="177"/>
      <c r="D55" s="49"/>
      <c r="E55" s="9"/>
      <c r="F55" s="115"/>
      <c r="G55" s="49"/>
      <c r="H55" s="9"/>
      <c r="I55" s="502"/>
    </row>
    <row r="56" spans="1:9">
      <c r="A56" s="179" t="s">
        <v>113</v>
      </c>
      <c r="B56" s="189"/>
      <c r="C56" s="177"/>
      <c r="D56" s="49"/>
      <c r="E56" s="9"/>
      <c r="F56" s="115"/>
      <c r="G56" s="49"/>
      <c r="H56" s="9"/>
      <c r="I56" s="502"/>
    </row>
    <row r="57" spans="1:9">
      <c r="A57" s="179" t="s">
        <v>114</v>
      </c>
      <c r="B57" s="189"/>
      <c r="C57" s="177"/>
      <c r="D57" s="49"/>
      <c r="E57" s="9"/>
      <c r="F57" s="115"/>
      <c r="G57" s="49"/>
      <c r="H57" s="9"/>
      <c r="I57" s="502"/>
    </row>
    <row r="58" spans="1:9" ht="25.5">
      <c r="A58" s="175">
        <v>8</v>
      </c>
      <c r="B58" s="190" t="s">
        <v>115</v>
      </c>
      <c r="C58" s="177" t="s">
        <v>116</v>
      </c>
      <c r="D58" s="49"/>
      <c r="E58" s="9"/>
      <c r="F58" s="115">
        <f t="shared" si="2"/>
        <v>0</v>
      </c>
      <c r="G58" s="49"/>
      <c r="H58" s="9"/>
      <c r="I58" s="502">
        <f t="shared" ref="I58:I68" si="5">SUM(G58:H58)</f>
        <v>0</v>
      </c>
    </row>
    <row r="59" spans="1:9">
      <c r="A59" s="175">
        <v>9</v>
      </c>
      <c r="B59" s="681" t="s">
        <v>117</v>
      </c>
      <c r="C59" s="177" t="s">
        <v>32</v>
      </c>
      <c r="D59" s="49"/>
      <c r="E59" s="9"/>
      <c r="F59" s="115">
        <f t="shared" si="2"/>
        <v>0</v>
      </c>
      <c r="G59" s="49"/>
      <c r="H59" s="9"/>
      <c r="I59" s="502">
        <f t="shared" si="5"/>
        <v>0</v>
      </c>
    </row>
    <row r="60" spans="1:9">
      <c r="A60" s="175">
        <v>10</v>
      </c>
      <c r="B60" s="681" t="s">
        <v>118</v>
      </c>
      <c r="C60" s="177" t="s">
        <v>32</v>
      </c>
      <c r="D60" s="49"/>
      <c r="E60" s="9"/>
      <c r="F60" s="115">
        <f t="shared" si="2"/>
        <v>0</v>
      </c>
      <c r="G60" s="49"/>
      <c r="H60" s="9"/>
      <c r="I60" s="502">
        <f t="shared" si="5"/>
        <v>0</v>
      </c>
    </row>
    <row r="61" spans="1:9" s="192" customFormat="1">
      <c r="A61" s="157" t="s">
        <v>39</v>
      </c>
      <c r="B61" s="191" t="s">
        <v>119</v>
      </c>
      <c r="C61" s="172" t="s">
        <v>32</v>
      </c>
      <c r="D61" s="160">
        <f>SUM(D62,D78:D79,D82,D85)</f>
        <v>4956.6612160000004</v>
      </c>
      <c r="E61" s="160">
        <f>SUM(E62,E78:E85)</f>
        <v>0</v>
      </c>
      <c r="F61" s="160">
        <f t="shared" si="2"/>
        <v>4956.6612160000004</v>
      </c>
      <c r="G61" s="160">
        <f>SUM(G62,G78:G79,G82,G85)</f>
        <v>19629.113118400001</v>
      </c>
      <c r="H61" s="160">
        <f>SUM(H62,H78:H85)</f>
        <v>0</v>
      </c>
      <c r="I61" s="161">
        <f t="shared" si="5"/>
        <v>19629.113118400001</v>
      </c>
    </row>
    <row r="62" spans="1:9">
      <c r="A62" s="193">
        <v>1</v>
      </c>
      <c r="B62" s="194" t="s">
        <v>120</v>
      </c>
      <c r="C62" s="185" t="s">
        <v>32</v>
      </c>
      <c r="D62" s="115">
        <f>SUM(D63,D69,D75:D77)</f>
        <v>4085.527</v>
      </c>
      <c r="E62" s="115">
        <f>SUM(E63,E69,E75:E77)</f>
        <v>0</v>
      </c>
      <c r="F62" s="115">
        <f>SUM(D62:E62)</f>
        <v>4085.527</v>
      </c>
      <c r="G62" s="115">
        <f>SUM(G63,G69,G75:G77)</f>
        <v>15077.942000000001</v>
      </c>
      <c r="H62" s="115">
        <f>SUM(H63,H69,H75:H77)</f>
        <v>0</v>
      </c>
      <c r="I62" s="502">
        <f t="shared" si="5"/>
        <v>15077.942000000001</v>
      </c>
    </row>
    <row r="63" spans="1:9" s="197" customFormat="1" ht="25.5">
      <c r="A63" s="195" t="s">
        <v>121</v>
      </c>
      <c r="B63" s="196" t="s">
        <v>122</v>
      </c>
      <c r="C63" s="185" t="s">
        <v>32</v>
      </c>
      <c r="D63" s="116">
        <f>SUM(D64:D68)</f>
        <v>3180.527</v>
      </c>
      <c r="E63" s="116"/>
      <c r="F63" s="116">
        <f t="shared" si="2"/>
        <v>3180.527</v>
      </c>
      <c r="G63" s="116">
        <f>SUM(G64:G68)</f>
        <v>13851.942000000001</v>
      </c>
      <c r="H63" s="116"/>
      <c r="I63" s="180">
        <f t="shared" si="5"/>
        <v>13851.942000000001</v>
      </c>
    </row>
    <row r="64" spans="1:9">
      <c r="A64" s="195" t="s">
        <v>123</v>
      </c>
      <c r="B64" s="198" t="s">
        <v>124</v>
      </c>
      <c r="C64" s="185" t="s">
        <v>32</v>
      </c>
      <c r="D64" s="116">
        <f>ROUND('ТИП-ПРОИЗ'!E33*'ТИП-ПРОИЗ'!E86/1000,3)</f>
        <v>80.238</v>
      </c>
      <c r="E64" s="116"/>
      <c r="F64" s="116">
        <f t="shared" si="2"/>
        <v>80.238</v>
      </c>
      <c r="G64" s="116">
        <f>ROUND('ТИП-ПРОИЗ'!F33*'ТИП-ПРОИЗ'!F86/1000,3)</f>
        <v>127.473</v>
      </c>
      <c r="H64" s="116"/>
      <c r="I64" s="180">
        <f t="shared" si="5"/>
        <v>127.473</v>
      </c>
    </row>
    <row r="65" spans="1:9">
      <c r="A65" s="195" t="s">
        <v>125</v>
      </c>
      <c r="B65" s="198" t="s">
        <v>126</v>
      </c>
      <c r="C65" s="185" t="s">
        <v>32</v>
      </c>
      <c r="D65" s="116">
        <f>ROUND('ТИП-ПРОИЗ'!E34*'ТИП-ПРОИЗ'!E87/1000,3)</f>
        <v>0</v>
      </c>
      <c r="E65" s="116"/>
      <c r="F65" s="116">
        <f t="shared" si="2"/>
        <v>0</v>
      </c>
      <c r="G65" s="116">
        <f>ROUND('ТИП-ПРОИЗ'!F34*'ТИП-ПРОИЗ'!F87/1000,3)</f>
        <v>0</v>
      </c>
      <c r="H65" s="116"/>
      <c r="I65" s="180">
        <f t="shared" si="5"/>
        <v>0</v>
      </c>
    </row>
    <row r="66" spans="1:9">
      <c r="A66" s="195" t="s">
        <v>127</v>
      </c>
      <c r="B66" s="198" t="s">
        <v>128</v>
      </c>
      <c r="C66" s="185" t="s">
        <v>32</v>
      </c>
      <c r="D66" s="116">
        <f>ROUND('ТИП-ПРОИЗ'!E35*'ТИП-ПРОИЗ'!E88/1000,3)</f>
        <v>0</v>
      </c>
      <c r="E66" s="116"/>
      <c r="F66" s="116">
        <f t="shared" si="2"/>
        <v>0</v>
      </c>
      <c r="G66" s="116">
        <f>ROUND('ТИП-ПРОИЗ'!F35*'ТИП-ПРОИЗ'!F88/1000,3)</f>
        <v>0</v>
      </c>
      <c r="H66" s="116"/>
      <c r="I66" s="180">
        <f t="shared" si="5"/>
        <v>0</v>
      </c>
    </row>
    <row r="67" spans="1:9">
      <c r="A67" s="195" t="s">
        <v>129</v>
      </c>
      <c r="B67" s="198" t="s">
        <v>130</v>
      </c>
      <c r="C67" s="185" t="s">
        <v>32</v>
      </c>
      <c r="D67" s="116">
        <f>ROUND('ТИП-ПРОИЗ'!E36*'ТИП-ПРОИЗ'!E89/1000,3)</f>
        <v>2269.0650000000001</v>
      </c>
      <c r="E67" s="116"/>
      <c r="F67" s="116">
        <f t="shared" si="2"/>
        <v>2269.0650000000001</v>
      </c>
      <c r="G67" s="116">
        <f>ROUND('ТИП-ПРОИЗ'!F36*'ТИП-ПРОИЗ'!F89/1000,3)</f>
        <v>10806.369000000001</v>
      </c>
      <c r="H67" s="116"/>
      <c r="I67" s="180">
        <f t="shared" si="5"/>
        <v>10806.369000000001</v>
      </c>
    </row>
    <row r="68" spans="1:9">
      <c r="A68" s="195" t="s">
        <v>131</v>
      </c>
      <c r="B68" s="198" t="str">
        <f>'ТИП-ПРОИЗ'!B79</f>
        <v>друг вид гориво (ВЕИ)</v>
      </c>
      <c r="C68" s="185" t="s">
        <v>32</v>
      </c>
      <c r="D68" s="116">
        <f>ROUND('ТИП-ПРОИЗ'!E37*'ТИП-ПРОИЗ'!E90/1000,3)</f>
        <v>831.22400000000005</v>
      </c>
      <c r="E68" s="116"/>
      <c r="F68" s="116">
        <f t="shared" si="2"/>
        <v>831.22400000000005</v>
      </c>
      <c r="G68" s="116">
        <f>ROUND('ТИП-ПРОИЗ'!F37*'ТИП-ПРОИЗ'!F90/1000,3)</f>
        <v>2918.1</v>
      </c>
      <c r="H68" s="116"/>
      <c r="I68" s="180">
        <f t="shared" si="5"/>
        <v>2918.1</v>
      </c>
    </row>
    <row r="69" spans="1:9" s="197" customFormat="1" ht="25.5" customHeight="1">
      <c r="A69" s="195" t="s">
        <v>132</v>
      </c>
      <c r="B69" s="199" t="s">
        <v>133</v>
      </c>
      <c r="C69" s="185" t="s">
        <v>32</v>
      </c>
      <c r="D69" s="116">
        <f>SUM(D70:D74)</f>
        <v>0</v>
      </c>
      <c r="E69" s="116"/>
      <c r="F69" s="116">
        <f t="shared" ref="F69:F74" si="6">SUM(D69:E69)</f>
        <v>0</v>
      </c>
      <c r="G69" s="116">
        <f>SUM(G70:G74)</f>
        <v>0</v>
      </c>
      <c r="H69" s="116"/>
      <c r="I69" s="180">
        <f t="shared" ref="I69:I74" si="7">SUM(G69:H69)</f>
        <v>0</v>
      </c>
    </row>
    <row r="70" spans="1:9">
      <c r="A70" s="195" t="s">
        <v>134</v>
      </c>
      <c r="B70" s="198" t="s">
        <v>124</v>
      </c>
      <c r="C70" s="185" t="s">
        <v>32</v>
      </c>
      <c r="D70" s="116">
        <f>ROUND('ТИП-ПРОИЗ'!E50*'ТИП-ПРОИЗ'!E86/1000,3)</f>
        <v>0</v>
      </c>
      <c r="E70" s="116"/>
      <c r="F70" s="116">
        <f t="shared" si="6"/>
        <v>0</v>
      </c>
      <c r="G70" s="116">
        <f>ROUND('ТИП-ПРОИЗ'!F50*'ТИП-ПРОИЗ'!F86/1000,3)</f>
        <v>0</v>
      </c>
      <c r="H70" s="116"/>
      <c r="I70" s="180">
        <f t="shared" si="7"/>
        <v>0</v>
      </c>
    </row>
    <row r="71" spans="1:9">
      <c r="A71" s="195" t="s">
        <v>135</v>
      </c>
      <c r="B71" s="198" t="s">
        <v>126</v>
      </c>
      <c r="C71" s="185" t="s">
        <v>32</v>
      </c>
      <c r="D71" s="116">
        <f>ROUND('ТИП-ПРОИЗ'!E51*'ТИП-ПРОИЗ'!E87/1000,3)</f>
        <v>0</v>
      </c>
      <c r="E71" s="116"/>
      <c r="F71" s="116">
        <f t="shared" si="6"/>
        <v>0</v>
      </c>
      <c r="G71" s="116">
        <f>ROUND('ТИП-ПРОИЗ'!F51*'ТИП-ПРОИЗ'!F87/1000,3)</f>
        <v>0</v>
      </c>
      <c r="H71" s="116"/>
      <c r="I71" s="180">
        <f t="shared" si="7"/>
        <v>0</v>
      </c>
    </row>
    <row r="72" spans="1:9">
      <c r="A72" s="195" t="s">
        <v>136</v>
      </c>
      <c r="B72" s="198" t="s">
        <v>128</v>
      </c>
      <c r="C72" s="185" t="s">
        <v>32</v>
      </c>
      <c r="D72" s="116">
        <f>ROUND('ТИП-ПРОИЗ'!E52*'ТИП-ПРОИЗ'!E88/1000,3)</f>
        <v>0</v>
      </c>
      <c r="E72" s="116"/>
      <c r="F72" s="116">
        <f t="shared" si="6"/>
        <v>0</v>
      </c>
      <c r="G72" s="116">
        <f>ROUND('ТИП-ПРОИЗ'!F52*'ТИП-ПРОИЗ'!F88/1000,3)</f>
        <v>0</v>
      </c>
      <c r="H72" s="116"/>
      <c r="I72" s="180">
        <f t="shared" si="7"/>
        <v>0</v>
      </c>
    </row>
    <row r="73" spans="1:9">
      <c r="A73" s="195" t="s">
        <v>137</v>
      </c>
      <c r="B73" s="198" t="s">
        <v>130</v>
      </c>
      <c r="C73" s="185" t="s">
        <v>32</v>
      </c>
      <c r="D73" s="116">
        <f>ROUND('ТИП-ПРОИЗ'!E53*'ТИП-ПРОИЗ'!E89/1000,3)</f>
        <v>0</v>
      </c>
      <c r="E73" s="116"/>
      <c r="F73" s="116">
        <f t="shared" si="6"/>
        <v>0</v>
      </c>
      <c r="G73" s="116">
        <f>ROUND('ТИП-ПРОИЗ'!F53*'ТИП-ПРОИЗ'!F89/1000,3)</f>
        <v>0</v>
      </c>
      <c r="H73" s="116"/>
      <c r="I73" s="180">
        <f t="shared" si="7"/>
        <v>0</v>
      </c>
    </row>
    <row r="74" spans="1:9">
      <c r="A74" s="195" t="s">
        <v>138</v>
      </c>
      <c r="B74" s="198" t="str">
        <f>'ТИП-ПРОИЗ'!B54</f>
        <v>друг вид гориво (ВЕИ)</v>
      </c>
      <c r="C74" s="185" t="s">
        <v>32</v>
      </c>
      <c r="D74" s="116">
        <f>ROUND('ТИП-ПРОИЗ'!E54*'ТИП-ПРОИЗ'!E90/1000,3)</f>
        <v>0</v>
      </c>
      <c r="E74" s="116"/>
      <c r="F74" s="116">
        <f t="shared" si="6"/>
        <v>0</v>
      </c>
      <c r="G74" s="116">
        <f>ROUND('ТИП-ПРОИЗ'!F54*'ТИП-ПРОИЗ'!F90/1000,3)</f>
        <v>0</v>
      </c>
      <c r="H74" s="116"/>
      <c r="I74" s="180">
        <f t="shared" si="7"/>
        <v>0</v>
      </c>
    </row>
    <row r="75" spans="1:9">
      <c r="A75" s="195" t="s">
        <v>139</v>
      </c>
      <c r="B75" s="200" t="s">
        <v>140</v>
      </c>
      <c r="C75" s="185" t="s">
        <v>32</v>
      </c>
      <c r="D75" s="77">
        <v>27</v>
      </c>
      <c r="E75" s="77"/>
      <c r="F75" s="116">
        <f t="shared" si="2"/>
        <v>27</v>
      </c>
      <c r="G75" s="77">
        <v>41</v>
      </c>
      <c r="H75" s="77"/>
      <c r="I75" s="180">
        <f t="shared" ref="I75:I85" si="8">SUM(G75:H75)</f>
        <v>41</v>
      </c>
    </row>
    <row r="76" spans="1:9">
      <c r="A76" s="195" t="s">
        <v>141</v>
      </c>
      <c r="B76" s="200" t="s">
        <v>142</v>
      </c>
      <c r="C76" s="185" t="s">
        <v>32</v>
      </c>
      <c r="D76" s="77">
        <v>770</v>
      </c>
      <c r="E76" s="77"/>
      <c r="F76" s="116">
        <f t="shared" si="2"/>
        <v>770</v>
      </c>
      <c r="G76" s="77">
        <v>1032</v>
      </c>
      <c r="H76" s="77"/>
      <c r="I76" s="180">
        <f t="shared" si="8"/>
        <v>1032</v>
      </c>
    </row>
    <row r="77" spans="1:9">
      <c r="A77" s="195" t="s">
        <v>143</v>
      </c>
      <c r="B77" s="200" t="s">
        <v>144</v>
      </c>
      <c r="C77" s="185" t="s">
        <v>32</v>
      </c>
      <c r="D77" s="77">
        <v>108</v>
      </c>
      <c r="E77" s="77"/>
      <c r="F77" s="116">
        <f t="shared" si="2"/>
        <v>108</v>
      </c>
      <c r="G77" s="77">
        <v>153</v>
      </c>
      <c r="H77" s="77"/>
      <c r="I77" s="180">
        <f t="shared" si="8"/>
        <v>153</v>
      </c>
    </row>
    <row r="78" spans="1:9">
      <c r="A78" s="201">
        <v>2</v>
      </c>
      <c r="B78" s="200" t="s">
        <v>145</v>
      </c>
      <c r="C78" s="185" t="s">
        <v>32</v>
      </c>
      <c r="D78" s="77">
        <v>41</v>
      </c>
      <c r="E78" s="77"/>
      <c r="F78" s="116">
        <f t="shared" si="2"/>
        <v>41</v>
      </c>
      <c r="G78" s="77">
        <v>44</v>
      </c>
      <c r="H78" s="77"/>
      <c r="I78" s="180">
        <f t="shared" si="8"/>
        <v>44</v>
      </c>
    </row>
    <row r="79" spans="1:9">
      <c r="A79" s="202" t="s">
        <v>146</v>
      </c>
      <c r="B79" s="203" t="s">
        <v>147</v>
      </c>
      <c r="C79" s="204" t="s">
        <v>32</v>
      </c>
      <c r="D79" s="205"/>
      <c r="E79" s="206"/>
      <c r="F79" s="207">
        <f t="shared" ref="F79:F85" si="9">SUM(D79:E79)</f>
        <v>0</v>
      </c>
      <c r="G79" s="205"/>
      <c r="H79" s="206"/>
      <c r="I79" s="208">
        <f>SUM(G79:H79)</f>
        <v>0</v>
      </c>
    </row>
    <row r="80" spans="1:9">
      <c r="A80" s="209" t="s">
        <v>148</v>
      </c>
      <c r="B80" s="198" t="s">
        <v>149</v>
      </c>
      <c r="C80" s="185" t="s">
        <v>32</v>
      </c>
      <c r="D80" s="116"/>
      <c r="E80" s="116"/>
      <c r="F80" s="116">
        <f t="shared" si="9"/>
        <v>0</v>
      </c>
      <c r="G80" s="116"/>
      <c r="H80" s="116"/>
      <c r="I80" s="180">
        <f>SUM(G80:H80)</f>
        <v>0</v>
      </c>
    </row>
    <row r="81" spans="1:9">
      <c r="A81" s="209" t="s">
        <v>150</v>
      </c>
      <c r="B81" s="198" t="s">
        <v>151</v>
      </c>
      <c r="C81" s="185" t="s">
        <v>32</v>
      </c>
      <c r="D81" s="116">
        <f>ROUND('ТИП-ПРОИЗ'!E55*'ТИП-ПРОИЗ'!$B55/1000,3)</f>
        <v>0</v>
      </c>
      <c r="E81" s="116"/>
      <c r="F81" s="116">
        <f t="shared" si="9"/>
        <v>0</v>
      </c>
      <c r="G81" s="116">
        <f>ROUND('ТИП-ПРОИЗ'!F55*'ТИП-ПРОИЗ'!$B55/1000,3)</f>
        <v>0</v>
      </c>
      <c r="H81" s="116"/>
      <c r="I81" s="180">
        <f>SUM(G81:H81)</f>
        <v>0</v>
      </c>
    </row>
    <row r="82" spans="1:9" ht="25.5">
      <c r="A82" s="195" t="s">
        <v>152</v>
      </c>
      <c r="B82" s="210" t="s">
        <v>153</v>
      </c>
      <c r="C82" s="185" t="s">
        <v>32</v>
      </c>
      <c r="D82" s="205"/>
      <c r="E82" s="206"/>
      <c r="F82" s="207">
        <f t="shared" si="9"/>
        <v>0</v>
      </c>
      <c r="G82" s="205"/>
      <c r="H82" s="206"/>
      <c r="I82" s="208">
        <f>SUM(G82:H82)</f>
        <v>0</v>
      </c>
    </row>
    <row r="83" spans="1:9" ht="25.5">
      <c r="A83" s="195" t="s">
        <v>57</v>
      </c>
      <c r="B83" s="210" t="s">
        <v>154</v>
      </c>
      <c r="C83" s="185" t="s">
        <v>32</v>
      </c>
      <c r="D83" s="205"/>
      <c r="F83" s="206"/>
      <c r="G83" s="205"/>
      <c r="H83" s="206"/>
      <c r="I83" s="208">
        <f>SUM(G83:H83)</f>
        <v>0</v>
      </c>
    </row>
    <row r="84" spans="1:9" ht="25.5">
      <c r="A84" s="195" t="s">
        <v>59</v>
      </c>
      <c r="B84" s="210" t="s">
        <v>155</v>
      </c>
      <c r="C84" s="185" t="s">
        <v>32</v>
      </c>
      <c r="D84" s="205">
        <f>'ТИП-ПРОИЗ'!$B56*'ТИП-ПРОИЗ'!E56/1000</f>
        <v>0</v>
      </c>
      <c r="E84" s="206"/>
      <c r="F84" s="207">
        <f t="shared" si="9"/>
        <v>0</v>
      </c>
      <c r="G84" s="205">
        <f>'ТИП-ПРОИЗ'!$B56*'ТИП-ПРОИЗ'!F56/1000</f>
        <v>0</v>
      </c>
      <c r="H84" s="206"/>
      <c r="I84" s="208">
        <f t="shared" si="8"/>
        <v>0</v>
      </c>
    </row>
    <row r="85" spans="1:9" ht="26.25" thickBot="1">
      <c r="A85" s="211" t="s">
        <v>156</v>
      </c>
      <c r="B85" s="212" t="s">
        <v>157</v>
      </c>
      <c r="C85" s="213" t="s">
        <v>32</v>
      </c>
      <c r="D85" s="214">
        <f>'ТИП-ПРОИЗ'!E98*'ТИП-ПРОИЗ'!E100/1000</f>
        <v>830.13421600000004</v>
      </c>
      <c r="E85" s="215"/>
      <c r="F85" s="214">
        <f t="shared" si="9"/>
        <v>830.13421600000004</v>
      </c>
      <c r="G85" s="214">
        <f>'ТИП-ПРОИЗ'!F98*'ТИП-ПРОИЗ'!F100/1000</f>
        <v>4507.1711183999996</v>
      </c>
      <c r="H85" s="215"/>
      <c r="I85" s="216">
        <f t="shared" si="8"/>
        <v>4507.1711183999996</v>
      </c>
    </row>
    <row r="86" spans="1:9" ht="13.5" thickTop="1"/>
    <row r="87" spans="1:9">
      <c r="A87" s="217" t="s">
        <v>158</v>
      </c>
      <c r="B87" s="218"/>
      <c r="C87" s="219"/>
      <c r="D87" s="220"/>
      <c r="E87" s="220"/>
      <c r="F87" s="221"/>
      <c r="G87" s="221"/>
      <c r="H87" s="221"/>
      <c r="I87" s="221"/>
    </row>
    <row r="88" spans="1:9">
      <c r="A88" s="127" t="s">
        <v>159</v>
      </c>
    </row>
    <row r="89" spans="1:9">
      <c r="A89" s="127" t="s">
        <v>160</v>
      </c>
    </row>
    <row r="90" spans="1:9"/>
    <row r="91" spans="1:9">
      <c r="A91" s="127" t="s">
        <v>161</v>
      </c>
      <c r="E91" s="222" t="s">
        <v>162</v>
      </c>
    </row>
    <row r="92" spans="1:9"/>
    <row r="93" spans="1:9">
      <c r="B93" s="223" t="s">
        <v>772</v>
      </c>
      <c r="F93" s="695" t="s">
        <v>773</v>
      </c>
      <c r="G93" s="695"/>
      <c r="H93" s="695"/>
      <c r="I93" s="695"/>
    </row>
    <row r="94" spans="1:9"/>
    <row r="96" spans="1:9" hidden="1">
      <c r="A96" s="224"/>
      <c r="B96" s="225"/>
      <c r="C96" s="224"/>
      <c r="D96" s="224"/>
      <c r="E96" s="224"/>
      <c r="F96" s="224"/>
      <c r="G96" s="224"/>
      <c r="H96" s="224"/>
      <c r="I96" s="224"/>
    </row>
    <row r="97" spans="1:9" hidden="1">
      <c r="A97" s="224"/>
      <c r="B97" s="225"/>
      <c r="C97" s="224"/>
      <c r="D97" s="224"/>
      <c r="E97" s="224"/>
      <c r="F97" s="224"/>
      <c r="G97" s="224"/>
      <c r="H97" s="224"/>
      <c r="I97" s="224"/>
    </row>
    <row r="100" spans="1:9" hidden="1">
      <c r="B100" s="226"/>
    </row>
    <row r="101" spans="1:9" hidden="1">
      <c r="B101" s="102"/>
    </row>
  </sheetData>
  <mergeCells count="9">
    <mergeCell ref="B1:C1"/>
    <mergeCell ref="B2:C2"/>
    <mergeCell ref="B3:C3"/>
    <mergeCell ref="G5:I5"/>
    <mergeCell ref="A5:A6"/>
    <mergeCell ref="B5:B6"/>
    <mergeCell ref="C5:C6"/>
    <mergeCell ref="D5:F5"/>
    <mergeCell ref="F93:I93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9"/>
  <sheetViews>
    <sheetView showGridLines="0" showZeros="0" topLeftCell="A61" workbookViewId="0">
      <selection activeCell="G81" sqref="G81:I81"/>
    </sheetView>
  </sheetViews>
  <sheetFormatPr defaultColWidth="0" defaultRowHeight="12.75" customHeight="1" zeroHeight="1"/>
  <cols>
    <col min="1" max="1" width="3.5703125" style="19" bestFit="1" customWidth="1"/>
    <col min="2" max="2" width="40.5703125" style="30" customWidth="1"/>
    <col min="3" max="3" width="7.5703125" style="1" bestFit="1" customWidth="1"/>
    <col min="4" max="6" width="7.5703125" style="19" customWidth="1"/>
    <col min="7" max="9" width="7.570312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10" s="3" customFormat="1">
      <c r="A1" s="663"/>
      <c r="B1" s="742" t="s">
        <v>163</v>
      </c>
      <c r="C1" s="742"/>
      <c r="D1" s="663"/>
      <c r="E1" s="663"/>
      <c r="F1" s="663"/>
      <c r="G1" s="663"/>
      <c r="H1" s="663"/>
      <c r="I1" s="56" t="s">
        <v>164</v>
      </c>
    </row>
    <row r="2" spans="1:10" s="3" customFormat="1">
      <c r="A2" s="663"/>
      <c r="B2" s="737" t="str">
        <f>'ТИП-ПРОИЗ'!B3</f>
        <v>"ТЕЦ Горна Оряховица" ЕАД</v>
      </c>
      <c r="C2" s="737"/>
      <c r="D2" s="663"/>
      <c r="E2" s="663"/>
      <c r="F2" s="663"/>
      <c r="G2" s="663"/>
      <c r="H2" s="663"/>
      <c r="I2" s="663"/>
    </row>
    <row r="3" spans="1:10" s="3" customFormat="1" ht="13.5" thickBot="1">
      <c r="A3" s="23"/>
      <c r="B3" s="14"/>
      <c r="C3" s="14"/>
      <c r="D3" s="14"/>
      <c r="E3" s="14"/>
      <c r="F3" s="14"/>
      <c r="G3" s="14"/>
      <c r="H3" s="14"/>
      <c r="I3" s="14"/>
    </row>
    <row r="4" spans="1:10" s="3" customFormat="1" ht="34.5" customHeight="1" thickTop="1">
      <c r="A4" s="708" t="s">
        <v>22</v>
      </c>
      <c r="B4" s="710" t="s">
        <v>165</v>
      </c>
      <c r="C4" s="712" t="s">
        <v>24</v>
      </c>
      <c r="D4" s="738" t="s">
        <v>166</v>
      </c>
      <c r="E4" s="738"/>
      <c r="F4" s="738"/>
      <c r="G4" s="739" t="s">
        <v>167</v>
      </c>
      <c r="H4" s="739"/>
      <c r="I4" s="740"/>
    </row>
    <row r="5" spans="1:10" s="3" customFormat="1" ht="35.25" customHeight="1">
      <c r="A5" s="709"/>
      <c r="B5" s="711"/>
      <c r="C5" s="713"/>
      <c r="D5" s="24" t="s">
        <v>168</v>
      </c>
      <c r="E5" s="733" t="s">
        <v>169</v>
      </c>
      <c r="F5" s="733"/>
      <c r="G5" s="24" t="s">
        <v>168</v>
      </c>
      <c r="H5" s="733" t="s">
        <v>169</v>
      </c>
      <c r="I5" s="734"/>
    </row>
    <row r="6" spans="1:10" s="3" customFormat="1" ht="21">
      <c r="A6" s="25" t="s">
        <v>30</v>
      </c>
      <c r="B6" s="34" t="s">
        <v>170</v>
      </c>
      <c r="C6" s="12" t="s">
        <v>32</v>
      </c>
      <c r="D6" s="665">
        <f>SUM(D7,D14)</f>
        <v>18995</v>
      </c>
      <c r="E6" s="725">
        <f>SUM(E7,E14)</f>
        <v>13303</v>
      </c>
      <c r="F6" s="725"/>
      <c r="G6" s="665">
        <f>SUM(G7,G14)</f>
        <v>19170.879999999997</v>
      </c>
      <c r="H6" s="725">
        <f>SUM(H7,H14)</f>
        <v>13835.859999999999</v>
      </c>
      <c r="I6" s="726"/>
    </row>
    <row r="7" spans="1:10" s="3" customFormat="1">
      <c r="A7" s="25" t="s">
        <v>171</v>
      </c>
      <c r="B7" s="7" t="s">
        <v>172</v>
      </c>
      <c r="C7" s="12" t="s">
        <v>32</v>
      </c>
      <c r="D7" s="664">
        <f>SUM(D8:D13)</f>
        <v>18995</v>
      </c>
      <c r="E7" s="727">
        <f>SUM(E8:F13)</f>
        <v>13303</v>
      </c>
      <c r="F7" s="727"/>
      <c r="G7" s="664">
        <f>SUM(G8:G13)</f>
        <v>19170.879999999997</v>
      </c>
      <c r="H7" s="727">
        <f>SUM(H8:I13)</f>
        <v>13835.859999999999</v>
      </c>
      <c r="I7" s="728"/>
    </row>
    <row r="8" spans="1:10" s="3" customFormat="1">
      <c r="A8" s="25"/>
      <c r="B8" s="8" t="s">
        <v>173</v>
      </c>
      <c r="C8" s="12" t="s">
        <v>32</v>
      </c>
      <c r="D8" s="98"/>
      <c r="E8" s="735"/>
      <c r="F8" s="736"/>
      <c r="G8" s="661"/>
      <c r="H8" s="735"/>
      <c r="I8" s="741"/>
    </row>
    <row r="9" spans="1:10" s="3" customFormat="1">
      <c r="A9" s="25"/>
      <c r="B9" s="8" t="s">
        <v>174</v>
      </c>
      <c r="C9" s="12" t="s">
        <v>32</v>
      </c>
      <c r="D9" s="98">
        <v>1746</v>
      </c>
      <c r="E9" s="735">
        <v>949</v>
      </c>
      <c r="F9" s="736"/>
      <c r="G9" s="661">
        <v>1745.662</v>
      </c>
      <c r="H9" s="735">
        <v>1018.675</v>
      </c>
      <c r="I9" s="741"/>
    </row>
    <row r="10" spans="1:10" s="3" customFormat="1">
      <c r="A10" s="25"/>
      <c r="B10" s="8" t="s">
        <v>175</v>
      </c>
      <c r="C10" s="12" t="s">
        <v>32</v>
      </c>
      <c r="D10" s="98">
        <v>17135</v>
      </c>
      <c r="E10" s="735">
        <v>12256</v>
      </c>
      <c r="F10" s="736"/>
      <c r="G10" s="661">
        <v>17311.117999999999</v>
      </c>
      <c r="H10" s="735">
        <v>12718.057000000001</v>
      </c>
      <c r="I10" s="741"/>
    </row>
    <row r="11" spans="1:10" s="3" customFormat="1">
      <c r="A11" s="25"/>
      <c r="B11" s="8" t="s">
        <v>176</v>
      </c>
      <c r="C11" s="12" t="s">
        <v>32</v>
      </c>
      <c r="D11" s="98">
        <v>44</v>
      </c>
      <c r="E11" s="735">
        <v>41</v>
      </c>
      <c r="F11" s="736"/>
      <c r="G11" s="661">
        <v>44.395000000000003</v>
      </c>
      <c r="H11" s="735">
        <v>36.942</v>
      </c>
      <c r="I11" s="741"/>
    </row>
    <row r="12" spans="1:10" s="3" customFormat="1">
      <c r="A12" s="25"/>
      <c r="B12" s="8" t="s">
        <v>177</v>
      </c>
      <c r="C12" s="12" t="s">
        <v>32</v>
      </c>
      <c r="D12" s="98">
        <v>41</v>
      </c>
      <c r="E12" s="735">
        <v>37</v>
      </c>
      <c r="F12" s="736"/>
      <c r="G12" s="661">
        <v>40.546999999999997</v>
      </c>
      <c r="H12" s="735">
        <v>39.473999999999997</v>
      </c>
      <c r="I12" s="741"/>
    </row>
    <row r="13" spans="1:10" s="3" customFormat="1">
      <c r="A13" s="25"/>
      <c r="B13" s="8" t="s">
        <v>178</v>
      </c>
      <c r="C13" s="12" t="s">
        <v>32</v>
      </c>
      <c r="D13" s="98">
        <v>29</v>
      </c>
      <c r="E13" s="735">
        <v>20</v>
      </c>
      <c r="F13" s="736"/>
      <c r="G13" s="661">
        <v>29.158000000000001</v>
      </c>
      <c r="H13" s="735">
        <v>22.712</v>
      </c>
      <c r="I13" s="741"/>
    </row>
    <row r="14" spans="1:10" s="3" customFormat="1">
      <c r="A14" s="25" t="s">
        <v>179</v>
      </c>
      <c r="B14" s="7" t="s">
        <v>180</v>
      </c>
      <c r="C14" s="12" t="s">
        <v>32</v>
      </c>
      <c r="D14" s="98"/>
      <c r="E14" s="735"/>
      <c r="F14" s="736"/>
      <c r="G14" s="661"/>
      <c r="H14" s="735"/>
      <c r="I14" s="741"/>
    </row>
    <row r="15" spans="1:10" s="3" customFormat="1">
      <c r="A15" s="25" t="s">
        <v>33</v>
      </c>
      <c r="B15" s="13" t="s">
        <v>181</v>
      </c>
      <c r="C15" s="12" t="s">
        <v>32</v>
      </c>
      <c r="D15" s="98"/>
      <c r="E15" s="735"/>
      <c r="F15" s="736"/>
      <c r="G15" s="661"/>
      <c r="H15" s="735"/>
      <c r="I15" s="741"/>
    </row>
    <row r="16" spans="1:10" s="3" customFormat="1">
      <c r="A16" s="25" t="s">
        <v>182</v>
      </c>
      <c r="B16" s="26" t="s">
        <v>183</v>
      </c>
      <c r="C16" s="12" t="s">
        <v>32</v>
      </c>
      <c r="D16" s="744">
        <v>569</v>
      </c>
      <c r="E16" s="745"/>
      <c r="F16" s="746"/>
      <c r="G16" s="744">
        <v>868</v>
      </c>
      <c r="H16" s="745"/>
      <c r="I16" s="746"/>
      <c r="J16" s="687"/>
    </row>
    <row r="17" spans="1:36" ht="13.5" thickBot="1">
      <c r="A17" s="27" t="s">
        <v>184</v>
      </c>
      <c r="B17" s="35" t="s">
        <v>185</v>
      </c>
      <c r="C17" s="38" t="s">
        <v>32</v>
      </c>
      <c r="D17" s="723">
        <f>SUM(D6,D16)-SUM(D15,E6)</f>
        <v>6261</v>
      </c>
      <c r="E17" s="723"/>
      <c r="F17" s="723"/>
      <c r="G17" s="723">
        <f>SUM(G6,G16)-SUM(G15,H6)</f>
        <v>6203.0199999999986</v>
      </c>
      <c r="H17" s="723"/>
      <c r="I17" s="724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3"/>
      <c r="B18" s="66"/>
      <c r="C18" s="57"/>
      <c r="D18" s="67"/>
      <c r="E18" s="67"/>
      <c r="F18" s="67"/>
      <c r="G18" s="67"/>
      <c r="H18" s="67"/>
      <c r="I18" s="67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3"/>
      <c r="B19" s="28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43">
        <f>IF(G17=0,0,D35/G17)</f>
        <v>1</v>
      </c>
      <c r="B20" s="743"/>
      <c r="C20" s="743"/>
      <c r="D20" s="743"/>
      <c r="E20" s="743"/>
      <c r="F20" s="743"/>
      <c r="G20" s="743"/>
      <c r="H20" s="743"/>
      <c r="I20" s="74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3"/>
      <c r="B21" s="28"/>
      <c r="C21" s="14"/>
      <c r="D21" s="14"/>
      <c r="E21" s="29"/>
      <c r="F21" s="14"/>
      <c r="G21" s="14"/>
      <c r="H21" s="29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08" t="s">
        <v>22</v>
      </c>
      <c r="B22" s="710" t="s">
        <v>165</v>
      </c>
      <c r="C22" s="712" t="s">
        <v>24</v>
      </c>
      <c r="D22" s="730" t="s">
        <v>186</v>
      </c>
      <c r="E22" s="730"/>
      <c r="F22" s="730"/>
      <c r="G22" s="731" t="s">
        <v>26</v>
      </c>
      <c r="H22" s="731"/>
      <c r="I22" s="732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09"/>
      <c r="B23" s="711"/>
      <c r="C23" s="713"/>
      <c r="D23" s="24" t="s">
        <v>168</v>
      </c>
      <c r="E23" s="733" t="s">
        <v>169</v>
      </c>
      <c r="F23" s="733"/>
      <c r="G23" s="24" t="s">
        <v>168</v>
      </c>
      <c r="H23" s="733" t="s">
        <v>169</v>
      </c>
      <c r="I23" s="734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5" t="s">
        <v>30</v>
      </c>
      <c r="B24" s="34" t="s">
        <v>170</v>
      </c>
      <c r="C24" s="12" t="s">
        <v>32</v>
      </c>
      <c r="D24" s="665">
        <f>SUM(D25,D32)</f>
        <v>19170.879999999997</v>
      </c>
      <c r="E24" s="725">
        <f>SUM(E25,E32)</f>
        <v>13835.859999999999</v>
      </c>
      <c r="F24" s="725"/>
      <c r="G24" s="665">
        <f>SUM(G25,G32)</f>
        <v>0</v>
      </c>
      <c r="H24" s="725">
        <f>SUM(H25,H32)</f>
        <v>0</v>
      </c>
      <c r="I24" s="726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5" t="s">
        <v>171</v>
      </c>
      <c r="B25" s="7" t="s">
        <v>172</v>
      </c>
      <c r="C25" s="12" t="s">
        <v>32</v>
      </c>
      <c r="D25" s="664">
        <f>SUM(D26:D31)</f>
        <v>19170.879999999997</v>
      </c>
      <c r="E25" s="727">
        <f>SUM(E26:F31)</f>
        <v>13835.859999999999</v>
      </c>
      <c r="F25" s="727"/>
      <c r="G25" s="664">
        <f>SUM(G26:G31)</f>
        <v>0</v>
      </c>
      <c r="H25" s="727">
        <f>SUM(H26:I31)</f>
        <v>0</v>
      </c>
      <c r="I25" s="728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5"/>
      <c r="B26" s="8" t="s">
        <v>173</v>
      </c>
      <c r="C26" s="12" t="s">
        <v>32</v>
      </c>
      <c r="D26" s="662">
        <f t="shared" ref="D26:E33" si="0">SUM(G8,-G26)</f>
        <v>0</v>
      </c>
      <c r="E26" s="717">
        <f t="shared" si="0"/>
        <v>0</v>
      </c>
      <c r="F26" s="717"/>
      <c r="G26" s="661"/>
      <c r="H26" s="718"/>
      <c r="I26" s="719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5"/>
      <c r="B27" s="8" t="s">
        <v>174</v>
      </c>
      <c r="C27" s="12" t="s">
        <v>32</v>
      </c>
      <c r="D27" s="662">
        <f t="shared" si="0"/>
        <v>1745.662</v>
      </c>
      <c r="E27" s="717">
        <f t="shared" si="0"/>
        <v>1018.675</v>
      </c>
      <c r="F27" s="717"/>
      <c r="G27" s="661"/>
      <c r="H27" s="718"/>
      <c r="I27" s="719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5"/>
      <c r="B28" s="8" t="s">
        <v>175</v>
      </c>
      <c r="C28" s="12" t="s">
        <v>32</v>
      </c>
      <c r="D28" s="662">
        <f t="shared" si="0"/>
        <v>17311.117999999999</v>
      </c>
      <c r="E28" s="717">
        <f t="shared" si="0"/>
        <v>12718.057000000001</v>
      </c>
      <c r="F28" s="717"/>
      <c r="G28" s="39"/>
      <c r="H28" s="718"/>
      <c r="I28" s="719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5"/>
      <c r="B29" s="8" t="s">
        <v>176</v>
      </c>
      <c r="C29" s="12" t="s">
        <v>32</v>
      </c>
      <c r="D29" s="662">
        <f t="shared" si="0"/>
        <v>44.395000000000003</v>
      </c>
      <c r="E29" s="717">
        <f t="shared" si="0"/>
        <v>36.942</v>
      </c>
      <c r="F29" s="717"/>
      <c r="G29" s="661"/>
      <c r="H29" s="718"/>
      <c r="I29" s="719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5"/>
      <c r="B30" s="8" t="s">
        <v>177</v>
      </c>
      <c r="C30" s="12" t="s">
        <v>32</v>
      </c>
      <c r="D30" s="662">
        <f t="shared" si="0"/>
        <v>40.546999999999997</v>
      </c>
      <c r="E30" s="717">
        <f t="shared" si="0"/>
        <v>39.473999999999997</v>
      </c>
      <c r="F30" s="717"/>
      <c r="G30" s="661"/>
      <c r="H30" s="718"/>
      <c r="I30" s="719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5"/>
      <c r="B31" s="8" t="s">
        <v>178</v>
      </c>
      <c r="C31" s="12" t="s">
        <v>32</v>
      </c>
      <c r="D31" s="662">
        <f t="shared" si="0"/>
        <v>29.158000000000001</v>
      </c>
      <c r="E31" s="717">
        <f t="shared" si="0"/>
        <v>22.712</v>
      </c>
      <c r="F31" s="717"/>
      <c r="G31" s="661"/>
      <c r="H31" s="718"/>
      <c r="I31" s="719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5" t="s">
        <v>179</v>
      </c>
      <c r="B32" s="7" t="s">
        <v>180</v>
      </c>
      <c r="C32" s="12" t="s">
        <v>32</v>
      </c>
      <c r="D32" s="662">
        <f t="shared" si="0"/>
        <v>0</v>
      </c>
      <c r="E32" s="717">
        <f t="shared" si="0"/>
        <v>0</v>
      </c>
      <c r="F32" s="717"/>
      <c r="G32" s="39"/>
      <c r="H32" s="718"/>
      <c r="I32" s="719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5" t="s">
        <v>33</v>
      </c>
      <c r="B33" s="13" t="s">
        <v>181</v>
      </c>
      <c r="C33" s="12" t="s">
        <v>32</v>
      </c>
      <c r="D33" s="662">
        <f t="shared" si="0"/>
        <v>0</v>
      </c>
      <c r="E33" s="717">
        <f t="shared" si="0"/>
        <v>0</v>
      </c>
      <c r="F33" s="717"/>
      <c r="G33" s="661"/>
      <c r="H33" s="718"/>
      <c r="I33" s="719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5" t="s">
        <v>182</v>
      </c>
      <c r="B34" s="26" t="s">
        <v>183</v>
      </c>
      <c r="C34" s="12" t="s">
        <v>32</v>
      </c>
      <c r="D34" s="720">
        <f>SUM(G16,-G34)</f>
        <v>868</v>
      </c>
      <c r="E34" s="720"/>
      <c r="F34" s="720"/>
      <c r="G34" s="721"/>
      <c r="H34" s="721"/>
      <c r="I34" s="722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27" t="s">
        <v>184</v>
      </c>
      <c r="B35" s="35" t="s">
        <v>185</v>
      </c>
      <c r="C35" s="38" t="s">
        <v>32</v>
      </c>
      <c r="D35" s="723">
        <f>SUM(D24,D34)-SUM(D33,E24)</f>
        <v>6203.0199999999986</v>
      </c>
      <c r="E35" s="723"/>
      <c r="F35" s="723"/>
      <c r="G35" s="723">
        <f>SUM(G24,G34)-SUM(G33,H24)</f>
        <v>0</v>
      </c>
      <c r="H35" s="723"/>
      <c r="I35" s="724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3"/>
      <c r="B36" s="66"/>
      <c r="C36" s="57"/>
      <c r="D36" s="67"/>
      <c r="E36" s="67"/>
      <c r="F36" s="67"/>
      <c r="G36" s="67"/>
      <c r="H36" s="67"/>
      <c r="I36" s="67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3"/>
      <c r="B37" s="28"/>
      <c r="C37" s="14"/>
      <c r="D37" s="14"/>
      <c r="E37" s="14"/>
      <c r="F37" s="14"/>
      <c r="G37" s="14"/>
      <c r="H37" s="28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29">
        <f>IF(D35=0,0,D53/D35)</f>
        <v>1</v>
      </c>
      <c r="B38" s="729"/>
      <c r="C38" s="729"/>
      <c r="D38" s="729"/>
      <c r="E38" s="729"/>
      <c r="F38" s="729"/>
      <c r="G38" s="729"/>
      <c r="H38" s="729"/>
      <c r="I38" s="729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3"/>
      <c r="B39" s="28"/>
      <c r="C39" s="14"/>
      <c r="D39" s="14"/>
      <c r="E39" s="29"/>
      <c r="F39" s="14"/>
      <c r="G39" s="14"/>
      <c r="H39" s="29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08" t="s">
        <v>22</v>
      </c>
      <c r="B40" s="710" t="s">
        <v>165</v>
      </c>
      <c r="C40" s="712" t="s">
        <v>24</v>
      </c>
      <c r="D40" s="730" t="s">
        <v>187</v>
      </c>
      <c r="E40" s="730"/>
      <c r="F40" s="730"/>
      <c r="G40" s="731" t="s">
        <v>188</v>
      </c>
      <c r="H40" s="731"/>
      <c r="I40" s="732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09"/>
      <c r="B41" s="711"/>
      <c r="C41" s="713"/>
      <c r="D41" s="24" t="s">
        <v>168</v>
      </c>
      <c r="E41" s="733" t="s">
        <v>169</v>
      </c>
      <c r="F41" s="733"/>
      <c r="G41" s="24" t="s">
        <v>168</v>
      </c>
      <c r="H41" s="733" t="s">
        <v>169</v>
      </c>
      <c r="I41" s="734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5" t="s">
        <v>30</v>
      </c>
      <c r="B42" s="34" t="s">
        <v>170</v>
      </c>
      <c r="C42" s="12" t="s">
        <v>32</v>
      </c>
      <c r="D42" s="665">
        <f>SUM(D43,D50)</f>
        <v>19170.879999999997</v>
      </c>
      <c r="E42" s="725">
        <f>SUM(E43,E50)</f>
        <v>13835.859999999999</v>
      </c>
      <c r="F42" s="725"/>
      <c r="G42" s="665">
        <f>SUM(G43,G50)</f>
        <v>0</v>
      </c>
      <c r="H42" s="725">
        <f>SUM(H43,H50)</f>
        <v>0</v>
      </c>
      <c r="I42" s="726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5" t="s">
        <v>171</v>
      </c>
      <c r="B43" s="7" t="s">
        <v>172</v>
      </c>
      <c r="C43" s="12" t="s">
        <v>32</v>
      </c>
      <c r="D43" s="664">
        <f>SUM(D44:D49)</f>
        <v>19170.879999999997</v>
      </c>
      <c r="E43" s="727">
        <f>SUM(E44:F49)</f>
        <v>13835.859999999999</v>
      </c>
      <c r="F43" s="727"/>
      <c r="G43" s="664">
        <f>SUM(G44:G49)</f>
        <v>0</v>
      </c>
      <c r="H43" s="727">
        <f>SUM(H44:I49)</f>
        <v>0</v>
      </c>
      <c r="I43" s="728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5"/>
      <c r="B44" s="8" t="s">
        <v>173</v>
      </c>
      <c r="C44" s="12" t="s">
        <v>32</v>
      </c>
      <c r="D44" s="662">
        <f t="shared" ref="D44:E51" si="1">SUM(D26,-G44)</f>
        <v>0</v>
      </c>
      <c r="E44" s="717">
        <f t="shared" si="1"/>
        <v>0</v>
      </c>
      <c r="F44" s="717"/>
      <c r="G44" s="661"/>
      <c r="H44" s="718"/>
      <c r="I44" s="719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5"/>
      <c r="B45" s="8" t="s">
        <v>174</v>
      </c>
      <c r="C45" s="12" t="s">
        <v>32</v>
      </c>
      <c r="D45" s="662">
        <f t="shared" si="1"/>
        <v>1745.662</v>
      </c>
      <c r="E45" s="717">
        <f t="shared" si="1"/>
        <v>1018.675</v>
      </c>
      <c r="F45" s="717"/>
      <c r="G45" s="661"/>
      <c r="H45" s="718"/>
      <c r="I45" s="719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5"/>
      <c r="B46" s="8" t="s">
        <v>175</v>
      </c>
      <c r="C46" s="12" t="s">
        <v>32</v>
      </c>
      <c r="D46" s="662">
        <f t="shared" si="1"/>
        <v>17311.117999999999</v>
      </c>
      <c r="E46" s="717">
        <f t="shared" si="1"/>
        <v>12718.057000000001</v>
      </c>
      <c r="F46" s="717"/>
      <c r="G46" s="39"/>
      <c r="H46" s="718"/>
      <c r="I46" s="719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5"/>
      <c r="B47" s="8" t="s">
        <v>176</v>
      </c>
      <c r="C47" s="12" t="s">
        <v>32</v>
      </c>
      <c r="D47" s="662">
        <f t="shared" si="1"/>
        <v>44.395000000000003</v>
      </c>
      <c r="E47" s="717">
        <f t="shared" si="1"/>
        <v>36.942</v>
      </c>
      <c r="F47" s="717"/>
      <c r="G47" s="661"/>
      <c r="H47" s="718"/>
      <c r="I47" s="719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5"/>
      <c r="B48" s="8" t="s">
        <v>177</v>
      </c>
      <c r="C48" s="12" t="s">
        <v>32</v>
      </c>
      <c r="D48" s="662">
        <f t="shared" si="1"/>
        <v>40.546999999999997</v>
      </c>
      <c r="E48" s="717">
        <f t="shared" si="1"/>
        <v>39.473999999999997</v>
      </c>
      <c r="F48" s="717"/>
      <c r="G48" s="661"/>
      <c r="H48" s="718"/>
      <c r="I48" s="719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5"/>
      <c r="B49" s="8" t="s">
        <v>178</v>
      </c>
      <c r="C49" s="12" t="s">
        <v>32</v>
      </c>
      <c r="D49" s="662">
        <f t="shared" si="1"/>
        <v>29.158000000000001</v>
      </c>
      <c r="E49" s="717">
        <f t="shared" si="1"/>
        <v>22.712</v>
      </c>
      <c r="F49" s="717"/>
      <c r="G49" s="661"/>
      <c r="H49" s="718"/>
      <c r="I49" s="719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5" t="s">
        <v>179</v>
      </c>
      <c r="B50" s="7" t="s">
        <v>180</v>
      </c>
      <c r="C50" s="12" t="s">
        <v>32</v>
      </c>
      <c r="D50" s="662">
        <f t="shared" si="1"/>
        <v>0</v>
      </c>
      <c r="E50" s="717">
        <f t="shared" si="1"/>
        <v>0</v>
      </c>
      <c r="F50" s="717"/>
      <c r="G50" s="39"/>
      <c r="H50" s="718"/>
      <c r="I50" s="719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5" t="s">
        <v>33</v>
      </c>
      <c r="B51" s="13" t="s">
        <v>181</v>
      </c>
      <c r="C51" s="12" t="s">
        <v>32</v>
      </c>
      <c r="D51" s="662">
        <f t="shared" si="1"/>
        <v>0</v>
      </c>
      <c r="E51" s="717">
        <f t="shared" si="1"/>
        <v>0</v>
      </c>
      <c r="F51" s="717"/>
      <c r="G51" s="661"/>
      <c r="H51" s="718"/>
      <c r="I51" s="719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5" t="s">
        <v>182</v>
      </c>
      <c r="B52" s="26" t="s">
        <v>183</v>
      </c>
      <c r="C52" s="12" t="s">
        <v>32</v>
      </c>
      <c r="D52" s="720">
        <f>SUM(D34,-G52)</f>
        <v>868</v>
      </c>
      <c r="E52" s="720"/>
      <c r="F52" s="720"/>
      <c r="G52" s="721"/>
      <c r="H52" s="721"/>
      <c r="I52" s="722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27" t="s">
        <v>184</v>
      </c>
      <c r="B53" s="35" t="s">
        <v>185</v>
      </c>
      <c r="C53" s="38" t="s">
        <v>32</v>
      </c>
      <c r="D53" s="723">
        <f>SUM(D42,D52)-SUM(D51,E42)</f>
        <v>6203.0199999999986</v>
      </c>
      <c r="E53" s="723"/>
      <c r="F53" s="723"/>
      <c r="G53" s="723">
        <f>SUM(G42,G52)-SUM(G51,H42)</f>
        <v>0</v>
      </c>
      <c r="H53" s="723"/>
      <c r="I53" s="724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3"/>
      <c r="B54" s="66"/>
      <c r="C54" s="57"/>
      <c r="D54" s="67"/>
      <c r="E54" s="67"/>
      <c r="F54" s="67"/>
      <c r="G54" s="67"/>
      <c r="H54" s="67"/>
      <c r="I54" s="67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3"/>
      <c r="B55" s="66"/>
      <c r="C55" s="57"/>
      <c r="D55" s="67"/>
      <c r="E55" s="67"/>
      <c r="F55" s="67"/>
      <c r="G55" s="67"/>
      <c r="H55" s="67"/>
      <c r="I55" s="67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3"/>
      <c r="B56" s="66"/>
      <c r="C56" s="57"/>
      <c r="D56" s="67"/>
      <c r="E56" s="67"/>
      <c r="F56" s="67"/>
      <c r="G56" s="67"/>
      <c r="H56" s="67"/>
      <c r="I56" s="67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3"/>
      <c r="B57" s="66"/>
      <c r="C57" s="57"/>
      <c r="D57" s="67"/>
      <c r="E57" s="67"/>
      <c r="F57" s="67"/>
      <c r="G57" s="67"/>
      <c r="H57" s="67"/>
      <c r="I57" s="67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3"/>
      <c r="B58" s="28"/>
      <c r="C58" s="14"/>
      <c r="D58" s="14"/>
      <c r="E58" s="14"/>
      <c r="F58" s="14"/>
      <c r="G58" s="14"/>
      <c r="H58" s="28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07">
        <f>IF(G17=0,0,I69/G17)</f>
        <v>0.11236768541774815</v>
      </c>
      <c r="B59" s="707"/>
      <c r="C59" s="707"/>
      <c r="D59" s="707"/>
      <c r="E59" s="707"/>
      <c r="F59" s="707"/>
      <c r="G59" s="707"/>
      <c r="H59" s="707"/>
      <c r="I59" s="707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08" t="s">
        <v>22</v>
      </c>
      <c r="B61" s="710" t="s">
        <v>165</v>
      </c>
      <c r="C61" s="712" t="s">
        <v>24</v>
      </c>
      <c r="D61" s="714" t="str">
        <f>$D$4</f>
        <v>ОТЧЕТ към 31.12.2020 г.</v>
      </c>
      <c r="E61" s="714"/>
      <c r="F61" s="714"/>
      <c r="G61" s="715" t="str">
        <f>$G$4</f>
        <v>ОТЧЕТ към 31.12.2021 г.</v>
      </c>
      <c r="H61" s="715"/>
      <c r="I61" s="716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09"/>
      <c r="B62" s="711"/>
      <c r="C62" s="713"/>
      <c r="D62" s="4" t="s">
        <v>25</v>
      </c>
      <c r="E62" s="4" t="s">
        <v>26</v>
      </c>
      <c r="F62" s="5" t="s">
        <v>27</v>
      </c>
      <c r="G62" s="4" t="s">
        <v>25</v>
      </c>
      <c r="H62" s="4" t="s">
        <v>26</v>
      </c>
      <c r="I62" s="6" t="s">
        <v>27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1">
        <v>5</v>
      </c>
      <c r="F63" s="21" t="s">
        <v>28</v>
      </c>
      <c r="G63" s="21">
        <v>7</v>
      </c>
      <c r="H63" s="31">
        <v>8</v>
      </c>
      <c r="I63" s="22" t="s">
        <v>29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02" t="s">
        <v>189</v>
      </c>
      <c r="B64" s="13" t="s">
        <v>190</v>
      </c>
      <c r="C64" s="12" t="s">
        <v>32</v>
      </c>
      <c r="D64" s="48">
        <f>SUM(D7,-D70,-E70)</f>
        <v>4468</v>
      </c>
      <c r="E64" s="48"/>
      <c r="F64" s="48">
        <f t="shared" ref="F64:F69" si="2">D64</f>
        <v>4468</v>
      </c>
      <c r="G64" s="48">
        <f>SUM(D25,-G70)</f>
        <v>4129.4749999999967</v>
      </c>
      <c r="H64" s="48"/>
      <c r="I64" s="78">
        <f t="shared" ref="I64:I69" si="3">G64</f>
        <v>4129.4749999999967</v>
      </c>
      <c r="J64" s="32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03"/>
      <c r="B65" s="13" t="s">
        <v>191</v>
      </c>
      <c r="C65" s="12" t="s">
        <v>32</v>
      </c>
      <c r="D65" s="48">
        <f>SUM(D14,-D71,-E71)</f>
        <v>0</v>
      </c>
      <c r="E65" s="48"/>
      <c r="F65" s="48">
        <f t="shared" si="2"/>
        <v>0</v>
      </c>
      <c r="G65" s="48">
        <f>SUM(D32,-G71)</f>
        <v>0</v>
      </c>
      <c r="H65" s="48"/>
      <c r="I65" s="78">
        <f t="shared" si="3"/>
        <v>0</v>
      </c>
      <c r="J65" s="32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03"/>
      <c r="B66" s="13" t="s">
        <v>181</v>
      </c>
      <c r="C66" s="12" t="s">
        <v>32</v>
      </c>
      <c r="D66" s="48">
        <f>SUM(D15,-D72,-E72)</f>
        <v>0</v>
      </c>
      <c r="E66" s="48"/>
      <c r="F66" s="48">
        <f t="shared" si="2"/>
        <v>0</v>
      </c>
      <c r="G66" s="48">
        <f>SUM(D33,-G72)</f>
        <v>0</v>
      </c>
      <c r="H66" s="48"/>
      <c r="I66" s="78">
        <f t="shared" si="3"/>
        <v>0</v>
      </c>
      <c r="J66" s="32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03"/>
      <c r="B67" s="13" t="s">
        <v>169</v>
      </c>
      <c r="C67" s="12" t="s">
        <v>192</v>
      </c>
      <c r="D67" s="48">
        <f>SUM(E6,-D73,-E73)</f>
        <v>3751</v>
      </c>
      <c r="E67" s="48"/>
      <c r="F67" s="48">
        <f t="shared" si="2"/>
        <v>3751</v>
      </c>
      <c r="G67" s="48">
        <f>SUM(E24,-G73)</f>
        <v>3483.4559999999983</v>
      </c>
      <c r="H67" s="48"/>
      <c r="I67" s="78">
        <f t="shared" si="3"/>
        <v>3483.4559999999983</v>
      </c>
      <c r="J67" s="32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03"/>
      <c r="B68" s="13" t="s">
        <v>193</v>
      </c>
      <c r="C68" s="12" t="s">
        <v>32</v>
      </c>
      <c r="D68" s="48">
        <f>SUM(D16,-D74,-E74)</f>
        <v>27</v>
      </c>
      <c r="E68" s="48"/>
      <c r="F68" s="48">
        <f t="shared" si="2"/>
        <v>27</v>
      </c>
      <c r="G68" s="48">
        <f>SUM(D34,-G74)</f>
        <v>51</v>
      </c>
      <c r="H68" s="48"/>
      <c r="I68" s="78">
        <f t="shared" si="3"/>
        <v>51</v>
      </c>
      <c r="J68" s="32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04"/>
      <c r="B69" s="36" t="s">
        <v>194</v>
      </c>
      <c r="C69" s="10" t="s">
        <v>32</v>
      </c>
      <c r="D69" s="91">
        <f>ROUND(SUM(D64:D65,D68)-D66-D67,3)</f>
        <v>744</v>
      </c>
      <c r="E69" s="91"/>
      <c r="F69" s="91">
        <f t="shared" si="2"/>
        <v>744</v>
      </c>
      <c r="G69" s="92">
        <f>ROUND(SUM(G64:G65,G68)-G66-G67,3)</f>
        <v>697.01900000000001</v>
      </c>
      <c r="H69" s="92"/>
      <c r="I69" s="93">
        <f t="shared" si="3"/>
        <v>697.01900000000001</v>
      </c>
      <c r="J69" s="32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05" t="s">
        <v>195</v>
      </c>
      <c r="B70" s="13" t="s">
        <v>190</v>
      </c>
      <c r="C70" s="12" t="s">
        <v>32</v>
      </c>
      <c r="D70" s="49">
        <v>14527</v>
      </c>
      <c r="E70" s="49"/>
      <c r="F70" s="48">
        <f t="shared" ref="F70:F76" si="4">SUM(D70:E70)</f>
        <v>14527</v>
      </c>
      <c r="G70" s="49">
        <v>15041.405000000001</v>
      </c>
      <c r="H70" s="99">
        <f>G25</f>
        <v>0</v>
      </c>
      <c r="I70" s="78">
        <f t="shared" ref="I70:I76" si="5">SUM(G70:H70)</f>
        <v>15041.405000000001</v>
      </c>
      <c r="J70" s="32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05"/>
      <c r="B71" s="13" t="s">
        <v>191</v>
      </c>
      <c r="C71" s="12" t="s">
        <v>32</v>
      </c>
      <c r="D71" s="49"/>
      <c r="E71" s="49"/>
      <c r="F71" s="48">
        <f t="shared" si="4"/>
        <v>0</v>
      </c>
      <c r="G71" s="49"/>
      <c r="H71" s="99">
        <f>G32</f>
        <v>0</v>
      </c>
      <c r="I71" s="78">
        <f t="shared" si="5"/>
        <v>0</v>
      </c>
      <c r="J71" s="32"/>
    </row>
    <row r="72" spans="1:36" ht="15" customHeight="1">
      <c r="A72" s="705"/>
      <c r="B72" s="13" t="s">
        <v>181</v>
      </c>
      <c r="C72" s="12" t="s">
        <v>32</v>
      </c>
      <c r="D72" s="49"/>
      <c r="E72" s="49"/>
      <c r="F72" s="48">
        <f t="shared" si="4"/>
        <v>0</v>
      </c>
      <c r="G72" s="49"/>
      <c r="H72" s="99">
        <f>G33</f>
        <v>0</v>
      </c>
      <c r="I72" s="78">
        <f t="shared" si="5"/>
        <v>0</v>
      </c>
      <c r="J72" s="32"/>
    </row>
    <row r="73" spans="1:36" ht="15" customHeight="1">
      <c r="A73" s="705"/>
      <c r="B73" s="13" t="s">
        <v>169</v>
      </c>
      <c r="C73" s="12" t="s">
        <v>192</v>
      </c>
      <c r="D73" s="49">
        <v>9552</v>
      </c>
      <c r="E73" s="49"/>
      <c r="F73" s="48">
        <f t="shared" si="4"/>
        <v>9552</v>
      </c>
      <c r="G73" s="49">
        <v>10352.404</v>
      </c>
      <c r="H73" s="99">
        <f>H24</f>
        <v>0</v>
      </c>
      <c r="I73" s="78">
        <f t="shared" si="5"/>
        <v>10352.404</v>
      </c>
      <c r="J73" s="32"/>
    </row>
    <row r="74" spans="1:36" ht="15" customHeight="1">
      <c r="A74" s="705"/>
      <c r="B74" s="13" t="s">
        <v>193</v>
      </c>
      <c r="C74" s="12" t="s">
        <v>32</v>
      </c>
      <c r="D74" s="49">
        <v>542</v>
      </c>
      <c r="E74" s="49"/>
      <c r="F74" s="48">
        <f t="shared" si="4"/>
        <v>542</v>
      </c>
      <c r="G74" s="49">
        <v>817</v>
      </c>
      <c r="H74" s="99">
        <f>G34</f>
        <v>0</v>
      </c>
      <c r="I74" s="78">
        <f t="shared" si="5"/>
        <v>817</v>
      </c>
      <c r="J74" s="32"/>
    </row>
    <row r="75" spans="1:36" ht="30" customHeight="1" thickBot="1">
      <c r="A75" s="706"/>
      <c r="B75" s="37" t="s">
        <v>196</v>
      </c>
      <c r="C75" s="33" t="s">
        <v>32</v>
      </c>
      <c r="D75" s="89">
        <f>ROUND(SUM(D70:D71,D74)-D72-D73,3)</f>
        <v>5517</v>
      </c>
      <c r="E75" s="89">
        <f>ROUND(SUM(E70:E71,E74)-E72-E73,3)</f>
        <v>0</v>
      </c>
      <c r="F75" s="89">
        <f t="shared" si="4"/>
        <v>5517</v>
      </c>
      <c r="G75" s="89">
        <f>ROUND(SUM(G70:G71,G74)-G72-G73,3)</f>
        <v>5506.0010000000002</v>
      </c>
      <c r="H75" s="89">
        <f>ROUND(SUM(H70:H71,H74)-H72-H73,3)</f>
        <v>0</v>
      </c>
      <c r="I75" s="90">
        <f t="shared" si="5"/>
        <v>5506.0010000000002</v>
      </c>
      <c r="J75" s="32"/>
    </row>
    <row r="76" spans="1:36" ht="30" customHeight="1" thickTop="1" thickBot="1">
      <c r="A76" s="503" t="s">
        <v>197</v>
      </c>
      <c r="B76" s="94" t="s">
        <v>198</v>
      </c>
      <c r="C76" s="95" t="s">
        <v>32</v>
      </c>
      <c r="D76" s="96">
        <f>ROUND(SUM(D69,D75),3)</f>
        <v>6261</v>
      </c>
      <c r="E76" s="96">
        <f>ROUND(SUM(E69,E75),3)</f>
        <v>0</v>
      </c>
      <c r="F76" s="96">
        <f t="shared" si="4"/>
        <v>6261</v>
      </c>
      <c r="G76" s="96">
        <f>ROUND(SUM(G69,G75),3)</f>
        <v>6203.02</v>
      </c>
      <c r="H76" s="96">
        <f>ROUND(SUM(H69,H75),3)</f>
        <v>0</v>
      </c>
      <c r="I76" s="97">
        <f t="shared" si="5"/>
        <v>6203.02</v>
      </c>
      <c r="J76" s="32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161</v>
      </c>
      <c r="B80" s="16"/>
      <c r="C80" s="3"/>
      <c r="D80" s="11"/>
      <c r="E80" s="18"/>
      <c r="F80" s="17" t="s">
        <v>162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58" t="s">
        <v>779</v>
      </c>
      <c r="C81" s="11"/>
      <c r="D81" s="3"/>
      <c r="E81" s="3"/>
      <c r="F81" s="3"/>
      <c r="G81" s="701" t="s">
        <v>780</v>
      </c>
      <c r="H81" s="701"/>
      <c r="I81" s="701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="3" customFormat="1" ht="12.75" hidden="1" customHeight="1"/>
    <row r="98" s="3" customFormat="1" ht="12.75" hidden="1" customHeight="1"/>
    <row r="99" s="3" customFormat="1" ht="12.75" hidden="1" customHeight="1"/>
    <row r="100" s="3" customFormat="1" ht="12.75" hidden="1" customHeight="1"/>
    <row r="101" s="3" customFormat="1" ht="12.75" hidden="1" customHeight="1"/>
    <row r="102" s="3" customFormat="1" ht="12.75" hidden="1" customHeight="1"/>
    <row r="103" s="3" customFormat="1" ht="12.75" hidden="1" customHeight="1"/>
    <row r="104" s="3" customFormat="1" ht="12.75" hidden="1" customHeight="1"/>
    <row r="105" s="3" customFormat="1" ht="12.75" hidden="1" customHeight="1"/>
    <row r="106" s="3" customFormat="1" ht="12.75" hidden="1" customHeight="1"/>
    <row r="107" s="3" customFormat="1" ht="12.75" hidden="1" customHeight="1"/>
    <row r="108" s="3" customFormat="1" ht="12.75" hidden="1" customHeight="1"/>
    <row r="109" s="3" customFormat="1" ht="12.75" hidden="1" customHeight="1"/>
    <row r="110" s="3" customFormat="1" ht="12.75" hidden="1" customHeight="1"/>
    <row r="111" s="3" customFormat="1" ht="12.75" hidden="1" customHeight="1"/>
    <row r="112" s="3" customFormat="1" ht="12.75" hidden="1" customHeight="1"/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E29:F29"/>
    <mergeCell ref="E31:F31"/>
    <mergeCell ref="H31:I31"/>
    <mergeCell ref="H32:I32"/>
    <mergeCell ref="E33:F33"/>
    <mergeCell ref="H33:I33"/>
    <mergeCell ref="D34:F34"/>
    <mergeCell ref="G34:I34"/>
    <mergeCell ref="D35:F35"/>
    <mergeCell ref="G35:I35"/>
    <mergeCell ref="E32:F32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H12:I12"/>
    <mergeCell ref="H13:I13"/>
    <mergeCell ref="H14:I14"/>
    <mergeCell ref="H15:I15"/>
    <mergeCell ref="D17:F17"/>
    <mergeCell ref="G17:I17"/>
    <mergeCell ref="A20:I20"/>
    <mergeCell ref="A22:A23"/>
    <mergeCell ref="H7:I7"/>
    <mergeCell ref="E13:F13"/>
    <mergeCell ref="D16:F16"/>
    <mergeCell ref="G16:I16"/>
    <mergeCell ref="H10:I10"/>
    <mergeCell ref="E11:F11"/>
    <mergeCell ref="E15:F15"/>
    <mergeCell ref="E14:F14"/>
    <mergeCell ref="E12:F12"/>
    <mergeCell ref="B2:C2"/>
    <mergeCell ref="A4:A5"/>
    <mergeCell ref="B4:B5"/>
    <mergeCell ref="C4:C5"/>
    <mergeCell ref="D4:F4"/>
    <mergeCell ref="G4:I4"/>
    <mergeCell ref="E5:F5"/>
    <mergeCell ref="H5:I5"/>
    <mergeCell ref="H8:I8"/>
    <mergeCell ref="E6:F6"/>
    <mergeCell ref="H6:I6"/>
    <mergeCell ref="A38:I38"/>
    <mergeCell ref="A40:A41"/>
    <mergeCell ref="B40:B41"/>
    <mergeCell ref="C40:C41"/>
    <mergeCell ref="D40:F40"/>
    <mergeCell ref="G40:I40"/>
    <mergeCell ref="E41:F41"/>
    <mergeCell ref="H41:I41"/>
    <mergeCell ref="B22:B23"/>
    <mergeCell ref="C22:C23"/>
    <mergeCell ref="D22:F22"/>
    <mergeCell ref="G22:I22"/>
    <mergeCell ref="E23:F23"/>
    <mergeCell ref="H23:I23"/>
    <mergeCell ref="E27:F27"/>
    <mergeCell ref="H29:I29"/>
    <mergeCell ref="H28:I28"/>
    <mergeCell ref="E26:F26"/>
    <mergeCell ref="H26:I26"/>
    <mergeCell ref="H24:I24"/>
    <mergeCell ref="H27:I27"/>
    <mergeCell ref="E28:F28"/>
    <mergeCell ref="E30:F30"/>
    <mergeCell ref="H30:I30"/>
    <mergeCell ref="E45:F45"/>
    <mergeCell ref="H45:I45"/>
    <mergeCell ref="E46:F46"/>
    <mergeCell ref="H46:I46"/>
    <mergeCell ref="E47:F47"/>
    <mergeCell ref="H47:I47"/>
    <mergeCell ref="E42:F42"/>
    <mergeCell ref="H42:I42"/>
    <mergeCell ref="E43:F43"/>
    <mergeCell ref="H43:I43"/>
    <mergeCell ref="E44:F44"/>
    <mergeCell ref="H44:I44"/>
    <mergeCell ref="E51:F51"/>
    <mergeCell ref="H51:I51"/>
    <mergeCell ref="D52:F52"/>
    <mergeCell ref="G52:I52"/>
    <mergeCell ref="D53:F53"/>
    <mergeCell ref="G53:I53"/>
    <mergeCell ref="E48:F48"/>
    <mergeCell ref="H48:I48"/>
    <mergeCell ref="E49:F49"/>
    <mergeCell ref="H49:I49"/>
    <mergeCell ref="E50:F50"/>
    <mergeCell ref="H50:I50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9" scale="90" orientation="portrait" r:id="rId1"/>
  <headerFooter alignWithMargins="0"/>
  <ignoredErrors>
    <ignoredError sqref="D26:F34 D44:F52 H70:H71 H73:H74 H72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showGridLines="0" showZeros="0" view="pageLayout" topLeftCell="A5" zoomScaleNormal="100" workbookViewId="0">
      <selection activeCell="G19" sqref="G19"/>
    </sheetView>
  </sheetViews>
  <sheetFormatPr defaultColWidth="0" defaultRowHeight="12.75" zeroHeight="1"/>
  <cols>
    <col min="1" max="1" width="3.85546875" style="100" customWidth="1"/>
    <col min="2" max="2" width="20.42578125" style="100" customWidth="1"/>
    <col min="3" max="4" width="11" style="100" customWidth="1"/>
    <col min="5" max="5" width="7.5703125" style="100" customWidth="1"/>
    <col min="6" max="6" width="16.5703125" style="100" customWidth="1"/>
    <col min="7" max="7" width="20.42578125" style="100" customWidth="1"/>
    <col min="8" max="8" width="7.5703125" style="100" customWidth="1"/>
    <col min="9" max="12" width="7.5703125" style="100" hidden="1" customWidth="1"/>
    <col min="13" max="16384" width="0" style="100" hidden="1"/>
  </cols>
  <sheetData>
    <row r="1" spans="1:8" ht="18.75">
      <c r="A1" s="682"/>
      <c r="B1" s="747">
        <v>3</v>
      </c>
      <c r="C1" s="747"/>
      <c r="D1" s="747"/>
      <c r="E1" s="747"/>
      <c r="F1" s="227"/>
      <c r="G1" s="128" t="s">
        <v>199</v>
      </c>
    </row>
    <row r="2" spans="1:8">
      <c r="A2" s="682"/>
      <c r="B2" s="682"/>
      <c r="C2" s="682"/>
      <c r="D2" s="682"/>
      <c r="E2" s="682"/>
      <c r="F2" s="682"/>
      <c r="G2" s="682"/>
    </row>
    <row r="3" spans="1:8">
      <c r="A3" s="682"/>
      <c r="B3" s="682"/>
      <c r="C3" s="682"/>
      <c r="D3" s="682"/>
      <c r="E3" s="682"/>
      <c r="F3" s="682"/>
      <c r="G3" s="682"/>
    </row>
    <row r="4" spans="1:8" ht="15.75" customHeight="1">
      <c r="A4" s="670"/>
      <c r="B4" s="748" t="s">
        <v>200</v>
      </c>
      <c r="C4" s="748"/>
      <c r="D4" s="748"/>
      <c r="E4" s="748"/>
      <c r="F4" s="670"/>
      <c r="G4" s="670"/>
    </row>
    <row r="5" spans="1:8" ht="15.75">
      <c r="A5" s="228"/>
      <c r="B5" s="749" t="str">
        <f>'ТИП-ПРОИЗ'!$B$3:$C$3</f>
        <v>"ТЕЦ Горна Оряховица" ЕАД</v>
      </c>
      <c r="C5" s="749"/>
      <c r="D5" s="749"/>
      <c r="E5" s="749"/>
      <c r="F5" s="228"/>
      <c r="G5" s="228"/>
    </row>
    <row r="6" spans="1:8" ht="15.75">
      <c r="A6" s="228"/>
      <c r="B6" s="229"/>
      <c r="C6" s="229"/>
      <c r="D6" s="229"/>
      <c r="E6" s="228"/>
      <c r="F6" s="228"/>
      <c r="G6" s="228"/>
    </row>
    <row r="7" spans="1:8" ht="15.75">
      <c r="A7" s="228"/>
      <c r="B7" s="229"/>
      <c r="C7" s="229"/>
      <c r="D7" s="229"/>
      <c r="E7" s="228"/>
      <c r="F7" s="228"/>
      <c r="G7" s="228"/>
    </row>
    <row r="8" spans="1:8"/>
    <row r="9" spans="1:8" ht="13.5" thickBot="1">
      <c r="A9" s="110"/>
      <c r="B9" s="110"/>
      <c r="C9" s="110"/>
      <c r="D9" s="110"/>
      <c r="E9" s="110"/>
      <c r="F9" s="110"/>
      <c r="G9" s="110"/>
    </row>
    <row r="10" spans="1:8" s="102" customFormat="1" ht="30" customHeight="1" thickTop="1">
      <c r="A10" s="230" t="s">
        <v>22</v>
      </c>
      <c r="B10" s="753" t="s">
        <v>201</v>
      </c>
      <c r="C10" s="754"/>
      <c r="D10" s="755"/>
      <c r="E10" s="231" t="s">
        <v>202</v>
      </c>
      <c r="F10" s="232" t="s">
        <v>203</v>
      </c>
      <c r="G10" s="509" t="s">
        <v>204</v>
      </c>
      <c r="H10" s="233"/>
    </row>
    <row r="11" spans="1:8" s="102" customFormat="1">
      <c r="A11" s="234">
        <v>1</v>
      </c>
      <c r="B11" s="756">
        <v>2</v>
      </c>
      <c r="C11" s="757"/>
      <c r="D11" s="758"/>
      <c r="E11" s="235">
        <v>3</v>
      </c>
      <c r="F11" s="235">
        <v>4</v>
      </c>
      <c r="G11" s="236">
        <v>5</v>
      </c>
      <c r="H11" s="237"/>
    </row>
    <row r="12" spans="1:8" s="240" customFormat="1" ht="15">
      <c r="A12" s="179">
        <v>1</v>
      </c>
      <c r="B12" s="750" t="s">
        <v>205</v>
      </c>
      <c r="C12" s="751"/>
      <c r="D12" s="752"/>
      <c r="E12" s="238" t="s">
        <v>206</v>
      </c>
      <c r="F12" s="68">
        <v>8556</v>
      </c>
      <c r="G12" s="69">
        <v>8556</v>
      </c>
      <c r="H12" s="239"/>
    </row>
    <row r="13" spans="1:8" s="240" customFormat="1" ht="15" customHeight="1">
      <c r="A13" s="179">
        <v>2</v>
      </c>
      <c r="B13" s="750" t="s">
        <v>207</v>
      </c>
      <c r="C13" s="751"/>
      <c r="D13" s="752"/>
      <c r="E13" s="238" t="s">
        <v>208</v>
      </c>
      <c r="F13" s="241">
        <f>IF(F12+F15=0,0,F12/(F12+F15))</f>
        <v>1</v>
      </c>
      <c r="G13" s="242">
        <f>IF(G12+G15=0,0,G12/(G12+G15))</f>
        <v>1</v>
      </c>
      <c r="H13" s="243"/>
    </row>
    <row r="14" spans="1:8" s="240" customFormat="1" ht="17.25" customHeight="1">
      <c r="A14" s="179">
        <v>3</v>
      </c>
      <c r="B14" s="750" t="s">
        <v>209</v>
      </c>
      <c r="C14" s="751"/>
      <c r="D14" s="752"/>
      <c r="E14" s="238" t="s">
        <v>208</v>
      </c>
      <c r="F14" s="70">
        <v>5.5599999999999997E-2</v>
      </c>
      <c r="G14" s="504">
        <v>4.1200000000000001E-2</v>
      </c>
      <c r="H14" s="244"/>
    </row>
    <row r="15" spans="1:8" s="240" customFormat="1" ht="15" customHeight="1">
      <c r="A15" s="179">
        <v>4</v>
      </c>
      <c r="B15" s="750" t="s">
        <v>210</v>
      </c>
      <c r="C15" s="751"/>
      <c r="D15" s="752"/>
      <c r="E15" s="238" t="s">
        <v>206</v>
      </c>
      <c r="F15" s="245">
        <f>SUM(F16:F17)</f>
        <v>0</v>
      </c>
      <c r="G15" s="246">
        <f>SUM(G16:G17)</f>
        <v>0</v>
      </c>
      <c r="H15" s="239"/>
    </row>
    <row r="16" spans="1:8" s="240" customFormat="1" ht="15" customHeight="1">
      <c r="A16" s="179"/>
      <c r="B16" s="750" t="s">
        <v>211</v>
      </c>
      <c r="C16" s="751"/>
      <c r="D16" s="752"/>
      <c r="E16" s="238" t="s">
        <v>206</v>
      </c>
      <c r="F16" s="68"/>
      <c r="G16" s="69"/>
      <c r="H16" s="239"/>
    </row>
    <row r="17" spans="1:8" s="240" customFormat="1" ht="15">
      <c r="A17" s="179"/>
      <c r="B17" s="750" t="s">
        <v>212</v>
      </c>
      <c r="C17" s="751"/>
      <c r="D17" s="752"/>
      <c r="E17" s="238" t="s">
        <v>206</v>
      </c>
      <c r="F17" s="68"/>
      <c r="G17" s="69"/>
      <c r="H17" s="239"/>
    </row>
    <row r="18" spans="1:8" s="240" customFormat="1" ht="15" customHeight="1">
      <c r="A18" s="179">
        <v>5</v>
      </c>
      <c r="B18" s="750" t="s">
        <v>213</v>
      </c>
      <c r="C18" s="751"/>
      <c r="D18" s="752"/>
      <c r="E18" s="238" t="s">
        <v>208</v>
      </c>
      <c r="F18" s="241">
        <f>IF(F12+F15=0,0,F15/(F12+F15))</f>
        <v>0</v>
      </c>
      <c r="G18" s="242">
        <f>IF(G12+G15=0,0,G15/(G12+G15))</f>
        <v>0</v>
      </c>
      <c r="H18" s="243"/>
    </row>
    <row r="19" spans="1:8" s="240" customFormat="1" ht="30" customHeight="1">
      <c r="A19" s="179">
        <v>6</v>
      </c>
      <c r="B19" s="750" t="s">
        <v>214</v>
      </c>
      <c r="C19" s="751"/>
      <c r="D19" s="752"/>
      <c r="E19" s="238" t="s">
        <v>208</v>
      </c>
      <c r="F19" s="70">
        <v>1.6500000000000001E-2</v>
      </c>
      <c r="G19" s="504">
        <v>1.6500000000000001E-2</v>
      </c>
      <c r="H19" s="244"/>
    </row>
    <row r="20" spans="1:8" s="240" customFormat="1" ht="15">
      <c r="A20" s="179">
        <v>7</v>
      </c>
      <c r="B20" s="750" t="s">
        <v>215</v>
      </c>
      <c r="C20" s="751"/>
      <c r="D20" s="752"/>
      <c r="E20" s="238" t="s">
        <v>208</v>
      </c>
      <c r="F20" s="70">
        <v>0.1</v>
      </c>
      <c r="G20" s="504">
        <v>0.1</v>
      </c>
      <c r="H20" s="247"/>
    </row>
    <row r="21" spans="1:8" ht="13.5" thickBot="1">
      <c r="A21" s="248">
        <v>8</v>
      </c>
      <c r="B21" s="768" t="s">
        <v>216</v>
      </c>
      <c r="C21" s="769"/>
      <c r="D21" s="770"/>
      <c r="E21" s="249" t="s">
        <v>208</v>
      </c>
      <c r="F21" s="250">
        <f>ROUND(F19*F18+F14*F13*(F20/(1-F20)+1),4)</f>
        <v>6.1800000000000001E-2</v>
      </c>
      <c r="G21" s="251">
        <f>ROUND(G19*G18+G14*G13*(G20/(1-G20)+1),4)</f>
        <v>4.58E-2</v>
      </c>
      <c r="H21" s="252"/>
    </row>
    <row r="22" spans="1:8" ht="13.5" thickTop="1"/>
    <row r="23" spans="1:8"/>
    <row r="24" spans="1:8">
      <c r="B24" s="765" t="s">
        <v>774</v>
      </c>
      <c r="C24" s="765"/>
      <c r="D24" s="765"/>
      <c r="E24" s="765"/>
    </row>
    <row r="25" spans="1:8" ht="13.5" thickBot="1">
      <c r="B25" s="253"/>
      <c r="C25" s="253"/>
      <c r="D25" s="253"/>
      <c r="E25" s="253"/>
    </row>
    <row r="26" spans="1:8" ht="26.25" customHeight="1" thickTop="1">
      <c r="A26" s="759" t="s">
        <v>22</v>
      </c>
      <c r="B26" s="761" t="s">
        <v>217</v>
      </c>
      <c r="C26" s="761" t="s">
        <v>218</v>
      </c>
      <c r="D26" s="761" t="s">
        <v>219</v>
      </c>
      <c r="E26" s="766" t="s">
        <v>220</v>
      </c>
      <c r="F26" s="254" t="s">
        <v>221</v>
      </c>
      <c r="G26" s="505" t="s">
        <v>222</v>
      </c>
    </row>
    <row r="27" spans="1:8" ht="26.25" customHeight="1">
      <c r="A27" s="760"/>
      <c r="B27" s="762"/>
      <c r="C27" s="762"/>
      <c r="D27" s="762"/>
      <c r="E27" s="767"/>
      <c r="F27" s="255" t="str">
        <f>'ТИП-ПРОИЗ'!$E$5</f>
        <v>ОТЧЕТ</v>
      </c>
      <c r="G27" s="510" t="str">
        <f>G10</f>
        <v>Към 31.12.2021 г.</v>
      </c>
    </row>
    <row r="28" spans="1:8" ht="12.75" customHeight="1">
      <c r="A28" s="669">
        <v>4</v>
      </c>
      <c r="B28" s="256" t="s">
        <v>223</v>
      </c>
      <c r="C28" s="257">
        <f>SUM(C29,C34)</f>
        <v>3912</v>
      </c>
      <c r="D28" s="257"/>
      <c r="E28" s="258">
        <f>IF(C28=0,0,SUM(C29*E29,C34*E34)/C28)</f>
        <v>1.6500000000000001E-2</v>
      </c>
      <c r="F28" s="259">
        <f>SUM(F29,F34)</f>
        <v>2830</v>
      </c>
      <c r="G28" s="506">
        <f>SUM(G29,G34)</f>
        <v>1082</v>
      </c>
    </row>
    <row r="29" spans="1:8">
      <c r="A29" s="170" t="s">
        <v>57</v>
      </c>
      <c r="B29" s="260" t="s">
        <v>224</v>
      </c>
      <c r="C29" s="261">
        <f>SUM(C30:C33)</f>
        <v>0</v>
      </c>
      <c r="D29" s="261"/>
      <c r="E29" s="258">
        <f>ROUND(IF(C29=0,0,SUMPRODUCT(C30:C33,E30:E33)/C29),4)</f>
        <v>0</v>
      </c>
      <c r="F29" s="262">
        <f>SUM(F30:F33)</f>
        <v>0</v>
      </c>
      <c r="G29" s="263">
        <f>SUM(G30:G33)</f>
        <v>0</v>
      </c>
    </row>
    <row r="30" spans="1:8">
      <c r="A30" s="179"/>
      <c r="B30" s="681" t="s">
        <v>225</v>
      </c>
      <c r="C30" s="44"/>
      <c r="D30" s="44"/>
      <c r="E30" s="45"/>
      <c r="F30" s="44"/>
      <c r="G30" s="507">
        <f>SUM(C30,-F30)</f>
        <v>0</v>
      </c>
    </row>
    <row r="31" spans="1:8" ht="15" customHeight="1">
      <c r="A31" s="179"/>
      <c r="B31" s="681" t="s">
        <v>225</v>
      </c>
      <c r="C31" s="44"/>
      <c r="D31" s="44"/>
      <c r="E31" s="45"/>
      <c r="F31" s="44"/>
      <c r="G31" s="507">
        <f>SUM(C31,-F31)</f>
        <v>0</v>
      </c>
    </row>
    <row r="32" spans="1:8" ht="15" customHeight="1">
      <c r="A32" s="179"/>
      <c r="B32" s="681" t="s">
        <v>225</v>
      </c>
      <c r="C32" s="44"/>
      <c r="D32" s="44"/>
      <c r="E32" s="45"/>
      <c r="F32" s="44"/>
      <c r="G32" s="507">
        <f>SUM(C32,-F32)</f>
        <v>0</v>
      </c>
    </row>
    <row r="33" spans="1:10" ht="15" customHeight="1">
      <c r="A33" s="179"/>
      <c r="B33" s="681" t="s">
        <v>225</v>
      </c>
      <c r="C33" s="44"/>
      <c r="D33" s="44"/>
      <c r="E33" s="45"/>
      <c r="F33" s="44"/>
      <c r="G33" s="507">
        <f>SUM(C33,-F33)</f>
        <v>0</v>
      </c>
    </row>
    <row r="34" spans="1:10" ht="12.75" customHeight="1">
      <c r="A34" s="170" t="s">
        <v>59</v>
      </c>
      <c r="B34" s="264" t="s">
        <v>226</v>
      </c>
      <c r="C34" s="265">
        <f>SUM(C35:C43)</f>
        <v>3912</v>
      </c>
      <c r="D34" s="265"/>
      <c r="E34" s="258">
        <f>ROUND(IF(C34=0,0,SUMPRODUCT(C35:C43,E35:E43)/C34),4)</f>
        <v>1.6500000000000001E-2</v>
      </c>
      <c r="F34" s="262">
        <f>SUM(F35:F43)</f>
        <v>2830</v>
      </c>
      <c r="G34" s="263">
        <f>SUM(G35:G43)</f>
        <v>1082</v>
      </c>
    </row>
    <row r="35" spans="1:10" ht="13.5" customHeight="1">
      <c r="A35" s="179"/>
      <c r="B35" s="681" t="s">
        <v>775</v>
      </c>
      <c r="C35" s="44">
        <v>3912</v>
      </c>
      <c r="D35" s="44">
        <v>12</v>
      </c>
      <c r="E35" s="45">
        <v>1.6500000000000001E-2</v>
      </c>
      <c r="F35" s="44">
        <v>2830</v>
      </c>
      <c r="G35" s="507">
        <f t="shared" ref="G35:G43" si="0">SUM(C35,-F35)</f>
        <v>1082</v>
      </c>
    </row>
    <row r="36" spans="1:10">
      <c r="A36" s="179"/>
      <c r="B36" s="681" t="s">
        <v>225</v>
      </c>
      <c r="C36" s="44"/>
      <c r="D36" s="44"/>
      <c r="E36" s="45"/>
      <c r="F36" s="44"/>
      <c r="G36" s="507">
        <f t="shared" si="0"/>
        <v>0</v>
      </c>
    </row>
    <row r="37" spans="1:10">
      <c r="A37" s="179"/>
      <c r="B37" s="681" t="s">
        <v>225</v>
      </c>
      <c r="C37" s="44"/>
      <c r="D37" s="44"/>
      <c r="E37" s="45"/>
      <c r="F37" s="44"/>
      <c r="G37" s="507">
        <f t="shared" si="0"/>
        <v>0</v>
      </c>
    </row>
    <row r="38" spans="1:10">
      <c r="A38" s="179"/>
      <c r="B38" s="681" t="s">
        <v>225</v>
      </c>
      <c r="C38" s="44"/>
      <c r="D38" s="44"/>
      <c r="E38" s="45"/>
      <c r="F38" s="44"/>
      <c r="G38" s="507">
        <f t="shared" si="0"/>
        <v>0</v>
      </c>
    </row>
    <row r="39" spans="1:10">
      <c r="A39" s="179"/>
      <c r="B39" s="681" t="s">
        <v>225</v>
      </c>
      <c r="C39" s="44"/>
      <c r="D39" s="44"/>
      <c r="E39" s="45"/>
      <c r="F39" s="44"/>
      <c r="G39" s="507">
        <f t="shared" si="0"/>
        <v>0</v>
      </c>
    </row>
    <row r="40" spans="1:10">
      <c r="A40" s="179"/>
      <c r="B40" s="681" t="s">
        <v>225</v>
      </c>
      <c r="C40" s="44"/>
      <c r="D40" s="44"/>
      <c r="E40" s="45"/>
      <c r="F40" s="44"/>
      <c r="G40" s="507">
        <f t="shared" si="0"/>
        <v>0</v>
      </c>
    </row>
    <row r="41" spans="1:10">
      <c r="A41" s="179"/>
      <c r="B41" s="681" t="s">
        <v>225</v>
      </c>
      <c r="C41" s="44"/>
      <c r="D41" s="44"/>
      <c r="E41" s="45"/>
      <c r="F41" s="44"/>
      <c r="G41" s="507">
        <f t="shared" si="0"/>
        <v>0</v>
      </c>
    </row>
    <row r="42" spans="1:10">
      <c r="A42" s="179"/>
      <c r="B42" s="681" t="s">
        <v>225</v>
      </c>
      <c r="C42" s="44"/>
      <c r="D42" s="44"/>
      <c r="E42" s="45"/>
      <c r="F42" s="44"/>
      <c r="G42" s="507">
        <f t="shared" si="0"/>
        <v>0</v>
      </c>
    </row>
    <row r="43" spans="1:10" ht="13.5" thickBot="1">
      <c r="A43" s="266"/>
      <c r="B43" s="267" t="s">
        <v>225</v>
      </c>
      <c r="C43" s="46"/>
      <c r="D43" s="46"/>
      <c r="E43" s="47"/>
      <c r="F43" s="46"/>
      <c r="G43" s="508">
        <f t="shared" si="0"/>
        <v>0</v>
      </c>
    </row>
    <row r="44" spans="1:10" ht="13.5" thickTop="1">
      <c r="H44" s="130"/>
      <c r="I44" s="130"/>
    </row>
    <row r="45" spans="1:10" ht="15">
      <c r="A45" s="268" t="s">
        <v>227</v>
      </c>
      <c r="B45" s="269"/>
      <c r="C45" s="127"/>
      <c r="D45" s="127"/>
      <c r="E45" s="102"/>
      <c r="F45" s="102"/>
      <c r="G45" s="102"/>
      <c r="H45" s="683"/>
      <c r="I45" s="683"/>
      <c r="J45" s="683"/>
    </row>
    <row r="46" spans="1:10" ht="15">
      <c r="A46" s="270" t="s">
        <v>228</v>
      </c>
      <c r="B46" s="764" t="s">
        <v>229</v>
      </c>
      <c r="C46" s="764"/>
      <c r="D46" s="764"/>
      <c r="E46" s="764"/>
      <c r="F46" s="764"/>
      <c r="G46" s="764"/>
      <c r="H46" s="271"/>
      <c r="I46" s="271"/>
      <c r="J46" s="271"/>
    </row>
    <row r="47" spans="1:10" ht="15">
      <c r="A47" s="270"/>
      <c r="B47" s="668"/>
      <c r="C47" s="668"/>
      <c r="D47" s="668"/>
      <c r="E47" s="668"/>
      <c r="F47" s="668"/>
      <c r="G47" s="668"/>
      <c r="H47" s="271"/>
      <c r="I47" s="271"/>
      <c r="J47" s="271"/>
    </row>
    <row r="48" spans="1:10" ht="15">
      <c r="A48" s="270"/>
      <c r="B48" s="668"/>
      <c r="C48" s="668"/>
      <c r="D48" s="668"/>
      <c r="E48" s="668"/>
      <c r="F48" s="668"/>
      <c r="G48" s="668"/>
      <c r="H48" s="271"/>
      <c r="I48" s="271"/>
      <c r="J48" s="271"/>
    </row>
    <row r="49" spans="1:10" ht="15">
      <c r="A49" s="270"/>
      <c r="B49" s="668"/>
      <c r="C49" s="668"/>
      <c r="D49" s="668"/>
      <c r="E49" s="668"/>
      <c r="F49" s="668"/>
      <c r="G49" s="668"/>
      <c r="H49" s="271"/>
      <c r="I49" s="271"/>
      <c r="J49" s="271"/>
    </row>
    <row r="50" spans="1:10" ht="15">
      <c r="A50" s="270"/>
      <c r="B50" s="668"/>
      <c r="C50" s="668"/>
      <c r="D50" s="668"/>
      <c r="E50" s="668"/>
      <c r="F50" s="668"/>
      <c r="G50" s="668"/>
      <c r="H50" s="271"/>
      <c r="I50" s="271"/>
      <c r="J50" s="271"/>
    </row>
    <row r="51" spans="1:10"/>
    <row r="52" spans="1:10" ht="15.75">
      <c r="A52" s="127" t="str">
        <f>Разходи!$A$91</f>
        <v>Гл. счетоводител:</v>
      </c>
      <c r="B52" s="272"/>
      <c r="C52" s="272"/>
      <c r="D52" s="272"/>
      <c r="E52" s="129" t="str">
        <f>Разходи!$E$91</f>
        <v>Изп. директор:</v>
      </c>
    </row>
    <row r="53" spans="1:10"/>
    <row r="54" spans="1:10">
      <c r="A54" s="127"/>
      <c r="B54" s="273" t="str">
        <f>Разходи!$B$93</f>
        <v>/ Росен Иванов /</v>
      </c>
      <c r="C54" s="273"/>
      <c r="D54" s="273"/>
      <c r="E54" s="683"/>
      <c r="F54" s="763" t="str">
        <f>Разходи!$F$93</f>
        <v>/ Анатолий Ботов/</v>
      </c>
      <c r="G54" s="763"/>
    </row>
    <row r="55" spans="1:10"/>
    <row r="56" spans="1:10"/>
    <row r="57" spans="1:10"/>
  </sheetData>
  <mergeCells count="23">
    <mergeCell ref="F54:G54"/>
    <mergeCell ref="B46:G46"/>
    <mergeCell ref="B24:E24"/>
    <mergeCell ref="B16:D16"/>
    <mergeCell ref="B17:D17"/>
    <mergeCell ref="E26:E27"/>
    <mergeCell ref="B21:D21"/>
    <mergeCell ref="B19:D19"/>
    <mergeCell ref="A26:A27"/>
    <mergeCell ref="B26:B27"/>
    <mergeCell ref="C26:C27"/>
    <mergeCell ref="D26:D27"/>
    <mergeCell ref="B15:D15"/>
    <mergeCell ref="B20:D20"/>
    <mergeCell ref="B1:E1"/>
    <mergeCell ref="B4:E4"/>
    <mergeCell ref="B5:E5"/>
    <mergeCell ref="B18:D18"/>
    <mergeCell ref="B10:D10"/>
    <mergeCell ref="B11:D11"/>
    <mergeCell ref="B12:D12"/>
    <mergeCell ref="B13:D13"/>
    <mergeCell ref="B14:D14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9" scale="90" orientation="portrait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2"/>
  <sheetViews>
    <sheetView showGridLines="0" showZeros="0" zoomScale="90" zoomScaleNormal="90" workbookViewId="0">
      <pane ySplit="7" topLeftCell="A110" activePane="bottomLeft" state="frozen"/>
      <selection pane="bottomLeft" activeCell="E91" sqref="E91"/>
    </sheetView>
  </sheetViews>
  <sheetFormatPr defaultColWidth="0" defaultRowHeight="12.75" zeroHeight="1"/>
  <cols>
    <col min="1" max="1" width="5.5703125" style="102" customWidth="1"/>
    <col min="2" max="2" width="75.42578125" style="127" customWidth="1"/>
    <col min="3" max="3" width="10.5703125" style="102" customWidth="1"/>
    <col min="4" max="4" width="10" style="102" customWidth="1"/>
    <col min="5" max="5" width="15.5703125" style="127" customWidth="1"/>
    <col min="6" max="6" width="15.140625" style="127" customWidth="1"/>
    <col min="7" max="7" width="15.5703125" style="127" customWidth="1"/>
    <col min="8" max="16384" width="0" style="127" hidden="1"/>
  </cols>
  <sheetData>
    <row r="1" spans="1:7" ht="18.75">
      <c r="A1" s="670"/>
      <c r="B1" s="772">
        <v>4</v>
      </c>
      <c r="C1" s="772"/>
      <c r="D1" s="320"/>
      <c r="E1" s="321"/>
      <c r="F1" s="128" t="s">
        <v>230</v>
      </c>
    </row>
    <row r="2" spans="1:7">
      <c r="A2" s="670"/>
      <c r="B2" s="773" t="s">
        <v>231</v>
      </c>
      <c r="C2" s="773"/>
      <c r="D2" s="670"/>
      <c r="E2" s="675"/>
      <c r="F2" s="675"/>
    </row>
    <row r="3" spans="1:7">
      <c r="A3" s="670"/>
      <c r="B3" s="81" t="s">
        <v>771</v>
      </c>
      <c r="C3" s="670"/>
      <c r="D3" s="670"/>
      <c r="E3" s="675"/>
      <c r="F3"/>
    </row>
    <row r="4" spans="1:7" ht="12.75" customHeight="1" thickBot="1">
      <c r="B4" s="323"/>
      <c r="C4" s="324"/>
      <c r="F4" s="197"/>
    </row>
    <row r="5" spans="1:7" ht="32.25" customHeight="1" thickTop="1">
      <c r="A5" s="778" t="s">
        <v>22</v>
      </c>
      <c r="B5" s="780">
        <v>7.2022000000000004</v>
      </c>
      <c r="C5" s="774" t="s">
        <v>232</v>
      </c>
      <c r="D5" s="776" t="s">
        <v>233</v>
      </c>
      <c r="E5" s="325" t="s">
        <v>234</v>
      </c>
      <c r="F5" s="326" t="s">
        <v>235</v>
      </c>
    </row>
    <row r="6" spans="1:7" ht="15.75">
      <c r="A6" s="779"/>
      <c r="B6" s="781"/>
      <c r="C6" s="775"/>
      <c r="D6" s="777"/>
      <c r="E6" s="327">
        <f>($B$5-7.0001)*10000</f>
        <v>2021.0000000000061</v>
      </c>
      <c r="F6" s="639">
        <f>$B$5</f>
        <v>7.2022000000000004</v>
      </c>
    </row>
    <row r="7" spans="1:7">
      <c r="A7" s="328">
        <v>1</v>
      </c>
      <c r="B7" s="329">
        <v>2</v>
      </c>
      <c r="C7" s="330">
        <v>3</v>
      </c>
      <c r="D7" s="330">
        <v>4</v>
      </c>
      <c r="E7" s="331">
        <v>5</v>
      </c>
      <c r="F7" s="512">
        <v>6</v>
      </c>
    </row>
    <row r="8" spans="1:7" s="192" customFormat="1" ht="15" customHeight="1">
      <c r="A8" s="363">
        <v>1</v>
      </c>
      <c r="B8" s="332" t="s">
        <v>236</v>
      </c>
      <c r="C8" s="333" t="s">
        <v>237</v>
      </c>
      <c r="D8" s="680" t="s">
        <v>238</v>
      </c>
      <c r="E8" s="334">
        <f>SUM(E9:E10)</f>
        <v>70599</v>
      </c>
      <c r="F8" s="416">
        <f>SUM(F9:F10)</f>
        <v>136129</v>
      </c>
      <c r="G8" s="127"/>
    </row>
    <row r="9" spans="1:7" s="192" customFormat="1" ht="15.75">
      <c r="A9" s="346" t="s">
        <v>42</v>
      </c>
      <c r="B9" s="336" t="s">
        <v>239</v>
      </c>
      <c r="C9" s="333" t="s">
        <v>240</v>
      </c>
      <c r="D9" s="680" t="s">
        <v>238</v>
      </c>
      <c r="E9" s="337">
        <f>SUM(E12,'ТИП-ПРЕНОС'!D12)</f>
        <v>0</v>
      </c>
      <c r="F9" s="417">
        <f>SUM(F12,'ТИП-ПРЕНОС'!E12)</f>
        <v>0</v>
      </c>
      <c r="G9" s="127"/>
    </row>
    <row r="10" spans="1:7" s="192" customFormat="1" ht="15.75">
      <c r="A10" s="346" t="s">
        <v>44</v>
      </c>
      <c r="B10" s="336" t="s">
        <v>241</v>
      </c>
      <c r="C10" s="333" t="s">
        <v>242</v>
      </c>
      <c r="D10" s="680" t="s">
        <v>238</v>
      </c>
      <c r="E10" s="337">
        <f>SUM(E13,'ТИП-ПРЕНОС'!D33)</f>
        <v>70599</v>
      </c>
      <c r="F10" s="417">
        <f>SUM(F13,'ТИП-ПРЕНОС'!E33)</f>
        <v>136129</v>
      </c>
      <c r="G10" s="127"/>
    </row>
    <row r="11" spans="1:7" s="192" customFormat="1" ht="15.75">
      <c r="A11" s="363">
        <v>2</v>
      </c>
      <c r="B11" s="338" t="s">
        <v>243</v>
      </c>
      <c r="C11" s="333" t="s">
        <v>244</v>
      </c>
      <c r="D11" s="680" t="s">
        <v>238</v>
      </c>
      <c r="E11" s="339">
        <f>SUM(E12:E13)</f>
        <v>0</v>
      </c>
      <c r="F11" s="418">
        <f>SUM(F12:F13)</f>
        <v>0</v>
      </c>
      <c r="G11" s="127"/>
    </row>
    <row r="12" spans="1:7" s="192" customFormat="1" ht="15.75">
      <c r="A12" s="363" t="s">
        <v>50</v>
      </c>
      <c r="B12" s="336" t="s">
        <v>245</v>
      </c>
      <c r="C12" s="333" t="s">
        <v>246</v>
      </c>
      <c r="D12" s="680" t="s">
        <v>238</v>
      </c>
      <c r="E12" s="88"/>
      <c r="F12" s="419"/>
      <c r="G12" s="127"/>
    </row>
    <row r="13" spans="1:7" s="192" customFormat="1" ht="15.75">
      <c r="A13" s="363" t="s">
        <v>52</v>
      </c>
      <c r="B13" s="336" t="s">
        <v>247</v>
      </c>
      <c r="C13" s="333" t="s">
        <v>248</v>
      </c>
      <c r="D13" s="680" t="s">
        <v>238</v>
      </c>
      <c r="E13" s="88"/>
      <c r="F13" s="419"/>
      <c r="G13" s="127"/>
    </row>
    <row r="14" spans="1:7" s="192" customFormat="1" ht="15.75">
      <c r="A14" s="363">
        <v>3</v>
      </c>
      <c r="B14" s="338" t="s">
        <v>249</v>
      </c>
      <c r="C14" s="333" t="s">
        <v>244</v>
      </c>
      <c r="D14" s="680" t="s">
        <v>238</v>
      </c>
      <c r="E14" s="340">
        <f>SUM(E15:E16)</f>
        <v>-738</v>
      </c>
      <c r="F14" s="420">
        <f>SUM(F15:F16)</f>
        <v>-25</v>
      </c>
      <c r="G14" s="127"/>
    </row>
    <row r="15" spans="1:7" s="192" customFormat="1" ht="15.75">
      <c r="A15" s="363" t="s">
        <v>148</v>
      </c>
      <c r="B15" s="336" t="s">
        <v>245</v>
      </c>
      <c r="C15" s="333" t="s">
        <v>246</v>
      </c>
      <c r="D15" s="680" t="s">
        <v>238</v>
      </c>
      <c r="E15" s="82"/>
      <c r="F15" s="410"/>
      <c r="G15" s="127"/>
    </row>
    <row r="16" spans="1:7" s="192" customFormat="1" ht="15.75">
      <c r="A16" s="363" t="s">
        <v>150</v>
      </c>
      <c r="B16" s="336" t="s">
        <v>247</v>
      </c>
      <c r="C16" s="333" t="s">
        <v>248</v>
      </c>
      <c r="D16" s="680" t="s">
        <v>238</v>
      </c>
      <c r="E16" s="82">
        <v>-738</v>
      </c>
      <c r="F16" s="410">
        <v>-25</v>
      </c>
      <c r="G16" s="127"/>
    </row>
    <row r="17" spans="1:7" s="192" customFormat="1" ht="15.75">
      <c r="A17" s="363">
        <v>4</v>
      </c>
      <c r="B17" s="338" t="s">
        <v>249</v>
      </c>
      <c r="C17" s="333" t="s">
        <v>244</v>
      </c>
      <c r="D17" s="680" t="s">
        <v>208</v>
      </c>
      <c r="E17" s="341">
        <f t="shared" ref="E17:F19" si="0">IF(E20=0,0,E14/E20)</f>
        <v>-1.0563833898741787E-2</v>
      </c>
      <c r="F17" s="421">
        <f t="shared" si="0"/>
        <v>-1.836830658907894E-4</v>
      </c>
      <c r="G17" s="127"/>
    </row>
    <row r="18" spans="1:7" s="192" customFormat="1" ht="15.75">
      <c r="A18" s="363" t="s">
        <v>57</v>
      </c>
      <c r="B18" s="336" t="s">
        <v>245</v>
      </c>
      <c r="C18" s="333" t="s">
        <v>246</v>
      </c>
      <c r="D18" s="680" t="s">
        <v>208</v>
      </c>
      <c r="E18" s="341">
        <f t="shared" si="0"/>
        <v>0</v>
      </c>
      <c r="F18" s="421">
        <f t="shared" si="0"/>
        <v>0</v>
      </c>
      <c r="G18" s="127"/>
    </row>
    <row r="19" spans="1:7" s="192" customFormat="1" ht="15.75">
      <c r="A19" s="363" t="s">
        <v>59</v>
      </c>
      <c r="B19" s="336" t="s">
        <v>247</v>
      </c>
      <c r="C19" s="333" t="s">
        <v>248</v>
      </c>
      <c r="D19" s="680" t="s">
        <v>208</v>
      </c>
      <c r="E19" s="341">
        <f t="shared" si="0"/>
        <v>-1.0563833898741787E-2</v>
      </c>
      <c r="F19" s="421">
        <f t="shared" si="0"/>
        <v>-1.836830658907894E-4</v>
      </c>
      <c r="G19" s="127"/>
    </row>
    <row r="20" spans="1:7" ht="15.75">
      <c r="A20" s="346">
        <v>5</v>
      </c>
      <c r="B20" s="338" t="s">
        <v>250</v>
      </c>
      <c r="C20" s="680" t="s">
        <v>251</v>
      </c>
      <c r="D20" s="680" t="s">
        <v>238</v>
      </c>
      <c r="E20" s="334">
        <f>SUM(E21:E22)</f>
        <v>69861</v>
      </c>
      <c r="F20" s="416">
        <f>SUM(F21:F22)</f>
        <v>136104</v>
      </c>
    </row>
    <row r="21" spans="1:7" ht="15.75">
      <c r="A21" s="346" t="s">
        <v>62</v>
      </c>
      <c r="B21" s="336" t="s">
        <v>245</v>
      </c>
      <c r="C21" s="680" t="s">
        <v>252</v>
      </c>
      <c r="D21" s="680" t="s">
        <v>238</v>
      </c>
      <c r="E21" s="342">
        <f>SUM(E9,E15)</f>
        <v>0</v>
      </c>
      <c r="F21" s="422">
        <f>SUM(F9,F15)</f>
        <v>0</v>
      </c>
    </row>
    <row r="22" spans="1:7" ht="16.5" thickBot="1">
      <c r="A22" s="346" t="s">
        <v>64</v>
      </c>
      <c r="B22" s="336" t="s">
        <v>247</v>
      </c>
      <c r="C22" s="680" t="s">
        <v>253</v>
      </c>
      <c r="D22" s="680" t="s">
        <v>238</v>
      </c>
      <c r="E22" s="342">
        <f>SUM(E10,E16)</f>
        <v>69861</v>
      </c>
      <c r="F22" s="422">
        <f>SUM(F10,F16)</f>
        <v>136104</v>
      </c>
    </row>
    <row r="23" spans="1:7" ht="13.5" thickTop="1">
      <c r="A23" s="672"/>
      <c r="B23" s="343" t="s">
        <v>254</v>
      </c>
      <c r="C23" s="673" t="s">
        <v>232</v>
      </c>
      <c r="D23" s="673" t="s">
        <v>233</v>
      </c>
      <c r="E23" s="344"/>
      <c r="F23" s="345"/>
    </row>
    <row r="24" spans="1:7" ht="15.75">
      <c r="A24" s="346">
        <v>6</v>
      </c>
      <c r="B24" s="338" t="s">
        <v>255</v>
      </c>
      <c r="C24" s="680" t="s">
        <v>256</v>
      </c>
      <c r="D24" s="106" t="s">
        <v>238</v>
      </c>
      <c r="E24" s="347">
        <f>SUM(E25:E26)</f>
        <v>69861</v>
      </c>
      <c r="F24" s="348">
        <f>SUM(F25:F26)</f>
        <v>136104</v>
      </c>
    </row>
    <row r="25" spans="1:7" ht="15.75">
      <c r="A25" s="346" t="s">
        <v>257</v>
      </c>
      <c r="B25" s="336" t="s">
        <v>245</v>
      </c>
      <c r="C25" s="680" t="s">
        <v>258</v>
      </c>
      <c r="D25" s="106" t="s">
        <v>238</v>
      </c>
      <c r="E25" s="409"/>
      <c r="F25" s="410"/>
    </row>
    <row r="26" spans="1:7" ht="15.75">
      <c r="A26" s="346" t="s">
        <v>259</v>
      </c>
      <c r="B26" s="336" t="s">
        <v>247</v>
      </c>
      <c r="C26" s="680" t="s">
        <v>260</v>
      </c>
      <c r="D26" s="106" t="s">
        <v>238</v>
      </c>
      <c r="E26" s="409">
        <v>69861</v>
      </c>
      <c r="F26" s="410">
        <v>136104</v>
      </c>
    </row>
    <row r="27" spans="1:7" ht="15.75">
      <c r="A27" s="346">
        <v>7</v>
      </c>
      <c r="B27" s="349" t="s">
        <v>261</v>
      </c>
      <c r="C27" s="335" t="s">
        <v>262</v>
      </c>
      <c r="D27" s="335" t="s">
        <v>238</v>
      </c>
      <c r="E27" s="86">
        <v>3395.3090000000002</v>
      </c>
      <c r="F27" s="423">
        <v>8348</v>
      </c>
    </row>
    <row r="28" spans="1:7">
      <c r="A28" s="346" t="s">
        <v>263</v>
      </c>
      <c r="B28" s="350" t="s">
        <v>264</v>
      </c>
      <c r="C28" s="335" t="s">
        <v>265</v>
      </c>
      <c r="D28" s="335" t="s">
        <v>238</v>
      </c>
      <c r="E28" s="82"/>
      <c r="F28" s="410"/>
    </row>
    <row r="29" spans="1:7">
      <c r="A29" s="346" t="s">
        <v>266</v>
      </c>
      <c r="B29" s="350" t="s">
        <v>267</v>
      </c>
      <c r="C29" s="335" t="s">
        <v>268</v>
      </c>
      <c r="D29" s="335" t="s">
        <v>238</v>
      </c>
      <c r="E29" s="342">
        <f>SUM(E27,-E30)</f>
        <v>3395.3090000000002</v>
      </c>
      <c r="F29" s="422">
        <f>SUM(F27,-F30)</f>
        <v>8348</v>
      </c>
    </row>
    <row r="30" spans="1:7">
      <c r="A30" s="346" t="s">
        <v>269</v>
      </c>
      <c r="B30" s="350" t="s">
        <v>270</v>
      </c>
      <c r="C30" s="335" t="s">
        <v>271</v>
      </c>
      <c r="D30" s="335" t="s">
        <v>238</v>
      </c>
      <c r="E30" s="82"/>
      <c r="F30" s="410"/>
    </row>
    <row r="31" spans="1:7" ht="14.25">
      <c r="A31" s="346">
        <v>8</v>
      </c>
      <c r="B31" s="351" t="s">
        <v>272</v>
      </c>
      <c r="C31" s="335" t="s">
        <v>273</v>
      </c>
      <c r="D31" s="335" t="s">
        <v>274</v>
      </c>
      <c r="E31" s="337">
        <f>E32*860/7000</f>
        <v>11726.921914285715</v>
      </c>
      <c r="F31" s="417">
        <f>F32*860/7000</f>
        <v>24026.494854285713</v>
      </c>
    </row>
    <row r="32" spans="1:7" ht="15.75">
      <c r="A32" s="346">
        <v>9</v>
      </c>
      <c r="B32" s="351" t="s">
        <v>275</v>
      </c>
      <c r="C32" s="335" t="s">
        <v>276</v>
      </c>
      <c r="D32" s="680" t="s">
        <v>238</v>
      </c>
      <c r="E32" s="340">
        <f>ROUND(SUMPRODUCT(E33:E37,E$75:E$79)/860,3)</f>
        <v>95451.69</v>
      </c>
      <c r="F32" s="420">
        <f>ROUND(SUMPRODUCT(F33:F37,F$75:F$79)/860,3)</f>
        <v>195564.49299999999</v>
      </c>
      <c r="G32" s="352"/>
    </row>
    <row r="33" spans="1:7" ht="15.75">
      <c r="A33" s="346" t="s">
        <v>277</v>
      </c>
      <c r="B33" s="198" t="s">
        <v>124</v>
      </c>
      <c r="C33" s="680" t="s">
        <v>278</v>
      </c>
      <c r="D33" s="680" t="s">
        <v>279</v>
      </c>
      <c r="E33" s="82">
        <v>83.489000000000004</v>
      </c>
      <c r="F33" s="410">
        <v>106</v>
      </c>
      <c r="G33" s="353"/>
    </row>
    <row r="34" spans="1:7">
      <c r="A34" s="346" t="s">
        <v>280</v>
      </c>
      <c r="B34" s="198" t="s">
        <v>126</v>
      </c>
      <c r="C34" s="680" t="s">
        <v>281</v>
      </c>
      <c r="D34" s="680" t="s">
        <v>282</v>
      </c>
      <c r="E34" s="82"/>
      <c r="F34" s="410"/>
    </row>
    <row r="35" spans="1:7">
      <c r="A35" s="346" t="s">
        <v>283</v>
      </c>
      <c r="B35" s="198" t="s">
        <v>128</v>
      </c>
      <c r="C35" s="680" t="s">
        <v>284</v>
      </c>
      <c r="D35" s="680" t="s">
        <v>282</v>
      </c>
      <c r="E35" s="82"/>
      <c r="F35" s="410"/>
      <c r="G35" s="352"/>
    </row>
    <row r="36" spans="1:7">
      <c r="A36" s="346" t="s">
        <v>285</v>
      </c>
      <c r="B36" s="198" t="s">
        <v>130</v>
      </c>
      <c r="C36" s="680" t="s">
        <v>286</v>
      </c>
      <c r="D36" s="680" t="s">
        <v>282</v>
      </c>
      <c r="E36" s="82">
        <v>12297.12</v>
      </c>
      <c r="F36" s="410">
        <v>24658</v>
      </c>
      <c r="G36" s="352"/>
    </row>
    <row r="37" spans="1:7" ht="15.75">
      <c r="A37" s="346" t="s">
        <v>287</v>
      </c>
      <c r="B37" s="415" t="s">
        <v>288</v>
      </c>
      <c r="C37" s="680" t="s">
        <v>289</v>
      </c>
      <c r="D37" s="680" t="s">
        <v>290</v>
      </c>
      <c r="E37" s="82">
        <v>4781.82</v>
      </c>
      <c r="F37" s="410">
        <v>9727</v>
      </c>
      <c r="G37" s="353"/>
    </row>
    <row r="38" spans="1:7" ht="14.25">
      <c r="A38" s="346">
        <v>10</v>
      </c>
      <c r="B38" s="355">
        <f>B93</f>
        <v>0.6</v>
      </c>
      <c r="C38" s="335" t="s">
        <v>291</v>
      </c>
      <c r="D38" s="335" t="s">
        <v>292</v>
      </c>
      <c r="E38" s="646">
        <f>E33*E$80/860*3.6*(1-Коефициенти!E22)</f>
        <v>1910.2011375348836</v>
      </c>
      <c r="F38" s="646">
        <f>F33*F$80/860*3.6*(1-Коефициенти!F22)</f>
        <v>2425.2454883720925</v>
      </c>
    </row>
    <row r="39" spans="1:7" ht="14.25">
      <c r="A39" s="346">
        <v>11</v>
      </c>
      <c r="B39" s="356">
        <f>B94</f>
        <v>0.6</v>
      </c>
      <c r="C39" s="335" t="s">
        <v>293</v>
      </c>
      <c r="D39" s="335" t="s">
        <v>292</v>
      </c>
      <c r="E39" s="342">
        <f>E36*E$83/860*3.6*(1-Коефициенти!E22)</f>
        <v>187569.40125767438</v>
      </c>
      <c r="F39" s="422">
        <f>F36*F$83/860*3.6*(1-Коефициенти!F22)</f>
        <v>376111.34120930225</v>
      </c>
    </row>
    <row r="40" spans="1:7" ht="15.75">
      <c r="A40" s="346">
        <v>12</v>
      </c>
      <c r="B40" s="351" t="s">
        <v>294</v>
      </c>
      <c r="C40" s="357" t="s">
        <v>295</v>
      </c>
      <c r="D40" s="357" t="s">
        <v>208</v>
      </c>
      <c r="E40" s="358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-1.4894493382674012E-2</v>
      </c>
      <c r="F40" s="424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-5.0750348687517155E-2</v>
      </c>
    </row>
    <row r="41" spans="1:7" ht="15.75">
      <c r="A41" s="346">
        <v>13</v>
      </c>
      <c r="B41" s="114" t="s">
        <v>296</v>
      </c>
      <c r="C41" s="680" t="s">
        <v>297</v>
      </c>
      <c r="D41" s="680" t="s">
        <v>208</v>
      </c>
      <c r="E41" s="359">
        <f>Коефициенти!E19</f>
        <v>0.77520166484218356</v>
      </c>
      <c r="F41" s="424">
        <f>Коефициенти!F19</f>
        <v>0.73876907706349337</v>
      </c>
    </row>
    <row r="42" spans="1:7" ht="15">
      <c r="A42" s="346">
        <v>14</v>
      </c>
      <c r="B42" s="361" t="s">
        <v>298</v>
      </c>
      <c r="C42" s="680" t="s">
        <v>299</v>
      </c>
      <c r="D42" s="106" t="s">
        <v>300</v>
      </c>
      <c r="E42" s="362">
        <f>ROUND(IF(E27=0,0,E31*Коефициенти!E24*1000/E27),2)</f>
        <v>1356.33</v>
      </c>
      <c r="F42" s="426">
        <f>ROUND(IF(F27=0,0,F31*Коефициенти!F24*1000/F27),2)</f>
        <v>1130.24</v>
      </c>
    </row>
    <row r="43" spans="1:7" ht="16.5" thickBot="1">
      <c r="A43" s="446">
        <v>15</v>
      </c>
      <c r="B43" s="455" t="s">
        <v>301</v>
      </c>
      <c r="C43" s="448" t="s">
        <v>302</v>
      </c>
      <c r="D43" s="456" t="s">
        <v>303</v>
      </c>
      <c r="E43" s="457">
        <f>IF(E24=0,0,ROUND(E31*(1-Коефициенти!E24)*1000/E24,2))</f>
        <v>101.94</v>
      </c>
      <c r="F43" s="458">
        <f>IF(F24=0,0,ROUND(F31*(1-Коефициенти!F24)*1000/F24,2))</f>
        <v>107.21</v>
      </c>
    </row>
    <row r="44" spans="1:7" ht="13.5" thickTop="1">
      <c r="A44" s="451"/>
      <c r="B44" s="452" t="s">
        <v>304</v>
      </c>
      <c r="C44" s="453"/>
      <c r="D44" s="454"/>
      <c r="E44" s="389"/>
      <c r="F44" s="435"/>
    </row>
    <row r="45" spans="1:7" ht="15.75">
      <c r="A45" s="363">
        <v>16</v>
      </c>
      <c r="B45" s="338" t="s">
        <v>305</v>
      </c>
      <c r="C45" s="680" t="s">
        <v>306</v>
      </c>
      <c r="D45" s="364" t="s">
        <v>238</v>
      </c>
      <c r="E45" s="365">
        <f>SUM(E46:E47)</f>
        <v>0</v>
      </c>
      <c r="F45" s="427">
        <f>SUM(F46:F47)</f>
        <v>0</v>
      </c>
    </row>
    <row r="46" spans="1:7" ht="15.75">
      <c r="A46" s="363" t="s">
        <v>307</v>
      </c>
      <c r="B46" s="336" t="s">
        <v>245</v>
      </c>
      <c r="C46" s="680" t="s">
        <v>258</v>
      </c>
      <c r="D46" s="364" t="s">
        <v>238</v>
      </c>
      <c r="E46" s="342">
        <f>SUM(E21,-E25)</f>
        <v>0</v>
      </c>
      <c r="F46" s="422">
        <f>SUM(F21,-F25)</f>
        <v>0</v>
      </c>
    </row>
    <row r="47" spans="1:7" ht="15.75">
      <c r="A47" s="363" t="s">
        <v>308</v>
      </c>
      <c r="B47" s="336" t="s">
        <v>247</v>
      </c>
      <c r="C47" s="680" t="s">
        <v>260</v>
      </c>
      <c r="D47" s="364" t="s">
        <v>238</v>
      </c>
      <c r="E47" s="342">
        <f>SUM(E22,-E26)</f>
        <v>0</v>
      </c>
      <c r="F47" s="422">
        <f>SUM(F22,-F26)</f>
        <v>0</v>
      </c>
    </row>
    <row r="48" spans="1:7">
      <c r="A48" s="363">
        <v>17</v>
      </c>
      <c r="B48" s="351" t="s">
        <v>309</v>
      </c>
      <c r="C48" s="335" t="s">
        <v>310</v>
      </c>
      <c r="D48" s="366" t="s">
        <v>311</v>
      </c>
      <c r="E48" s="337">
        <f>E49*860/7000</f>
        <v>0</v>
      </c>
      <c r="F48" s="417">
        <f>F49*860/7000</f>
        <v>0</v>
      </c>
    </row>
    <row r="49" spans="1:7" ht="15.75">
      <c r="A49" s="346">
        <v>18</v>
      </c>
      <c r="B49" s="351" t="s">
        <v>312</v>
      </c>
      <c r="C49" s="335" t="s">
        <v>313</v>
      </c>
      <c r="D49" s="680" t="s">
        <v>238</v>
      </c>
      <c r="E49" s="340">
        <f>ROUND(SUMPRODUCT(E50:E54,E$75:E$79)/860,3)</f>
        <v>0</v>
      </c>
      <c r="F49" s="420">
        <f>ROUND(SUMPRODUCT(F50:F54,F$75:F$79)/860,3)</f>
        <v>0</v>
      </c>
    </row>
    <row r="50" spans="1:7">
      <c r="A50" s="346" t="s">
        <v>314</v>
      </c>
      <c r="B50" s="198" t="s">
        <v>124</v>
      </c>
      <c r="C50" s="680" t="s">
        <v>315</v>
      </c>
      <c r="D50" s="106" t="s">
        <v>316</v>
      </c>
      <c r="E50" s="82"/>
      <c r="F50" s="410"/>
    </row>
    <row r="51" spans="1:7">
      <c r="A51" s="346" t="s">
        <v>317</v>
      </c>
      <c r="B51" s="198" t="s">
        <v>126</v>
      </c>
      <c r="C51" s="680" t="s">
        <v>318</v>
      </c>
      <c r="D51" s="106" t="s">
        <v>282</v>
      </c>
      <c r="E51" s="82"/>
      <c r="F51" s="410"/>
    </row>
    <row r="52" spans="1:7">
      <c r="A52" s="346" t="s">
        <v>319</v>
      </c>
      <c r="B52" s="198" t="s">
        <v>128</v>
      </c>
      <c r="C52" s="680" t="s">
        <v>320</v>
      </c>
      <c r="D52" s="106" t="s">
        <v>282</v>
      </c>
      <c r="E52" s="82"/>
      <c r="F52" s="410"/>
    </row>
    <row r="53" spans="1:7">
      <c r="A53" s="346" t="s">
        <v>321</v>
      </c>
      <c r="B53" s="198" t="s">
        <v>130</v>
      </c>
      <c r="C53" s="680" t="s">
        <v>286</v>
      </c>
      <c r="D53" s="106" t="s">
        <v>282</v>
      </c>
      <c r="E53" s="82"/>
      <c r="F53" s="410"/>
    </row>
    <row r="54" spans="1:7" ht="15.75">
      <c r="A54" s="346" t="s">
        <v>322</v>
      </c>
      <c r="B54" s="354" t="s">
        <v>288</v>
      </c>
      <c r="C54" s="680" t="s">
        <v>323</v>
      </c>
      <c r="D54" s="680" t="s">
        <v>290</v>
      </c>
      <c r="E54" s="82"/>
      <c r="F54" s="410"/>
    </row>
    <row r="55" spans="1:7" ht="14.25">
      <c r="A55" s="346">
        <v>19</v>
      </c>
      <c r="B55" s="367">
        <f>B93</f>
        <v>0.6</v>
      </c>
      <c r="C55" s="335" t="s">
        <v>324</v>
      </c>
      <c r="D55" s="335" t="s">
        <v>292</v>
      </c>
      <c r="E55" s="342">
        <f>E50*E$80/860*3.6</f>
        <v>0</v>
      </c>
      <c r="F55" s="422">
        <f>F50*F$80/860*3.6</f>
        <v>0</v>
      </c>
    </row>
    <row r="56" spans="1:7" ht="14.25">
      <c r="A56" s="346">
        <v>20</v>
      </c>
      <c r="B56" s="368">
        <f>B94</f>
        <v>0.6</v>
      </c>
      <c r="C56" s="335" t="s">
        <v>293</v>
      </c>
      <c r="D56" s="335" t="s">
        <v>292</v>
      </c>
      <c r="E56" s="342">
        <f>E53*E$83/860*3.6</f>
        <v>0</v>
      </c>
      <c r="F56" s="422">
        <f>F53*F$83/860*3.6</f>
        <v>0</v>
      </c>
    </row>
    <row r="57" spans="1:7" ht="15.75">
      <c r="A57" s="346">
        <v>21</v>
      </c>
      <c r="B57" s="114" t="s">
        <v>325</v>
      </c>
      <c r="C57" s="680" t="s">
        <v>326</v>
      </c>
      <c r="D57" s="106" t="s">
        <v>208</v>
      </c>
      <c r="E57" s="369">
        <f>IF(E49=0,0,E45/E49)</f>
        <v>0</v>
      </c>
      <c r="F57" s="428">
        <f>IF(F49=0,0,F45/F49)</f>
        <v>0</v>
      </c>
    </row>
    <row r="58" spans="1:7" ht="16.5" thickBot="1">
      <c r="A58" s="446">
        <v>22</v>
      </c>
      <c r="B58" s="460" t="s">
        <v>327</v>
      </c>
      <c r="C58" s="448" t="s">
        <v>328</v>
      </c>
      <c r="D58" s="456" t="s">
        <v>303</v>
      </c>
      <c r="E58" s="457">
        <f>ROUND(IF(E45=0,0,E48*1000/E45),2)</f>
        <v>0</v>
      </c>
      <c r="F58" s="458">
        <f>ROUND(IF(F45=0,0,F48*1000/F45),2)</f>
        <v>0</v>
      </c>
    </row>
    <row r="59" spans="1:7" s="192" customFormat="1" ht="16.5" thickTop="1">
      <c r="A59" s="451"/>
      <c r="B59" s="459" t="s">
        <v>329</v>
      </c>
      <c r="C59" s="453"/>
      <c r="D59" s="454"/>
      <c r="E59" s="389"/>
      <c r="F59" s="435"/>
      <c r="G59" s="674"/>
    </row>
    <row r="60" spans="1:7" s="192" customFormat="1">
      <c r="A60" s="346">
        <v>23</v>
      </c>
      <c r="B60" s="122" t="s">
        <v>330</v>
      </c>
      <c r="C60" s="680" t="s">
        <v>331</v>
      </c>
      <c r="D60" s="335" t="s">
        <v>238</v>
      </c>
      <c r="E60" s="637">
        <f>SUM(E27,-E64)</f>
        <v>843.86599999999999</v>
      </c>
      <c r="F60" s="638">
        <f>SUM(F27,-F64)</f>
        <v>1880</v>
      </c>
      <c r="G60" s="127"/>
    </row>
    <row r="61" spans="1:7" s="192" customFormat="1">
      <c r="A61" s="346" t="s">
        <v>332</v>
      </c>
      <c r="B61" s="370" t="s">
        <v>333</v>
      </c>
      <c r="C61" s="680" t="s">
        <v>334</v>
      </c>
      <c r="D61" s="335" t="s">
        <v>238</v>
      </c>
      <c r="E61" s="342">
        <f>SUM(E60,-E62)</f>
        <v>38.605999999999995</v>
      </c>
      <c r="F61" s="422">
        <f>SUM(F60,-F62)</f>
        <v>107.72399999999993</v>
      </c>
      <c r="G61" s="127"/>
    </row>
    <row r="62" spans="1:7" s="192" customFormat="1">
      <c r="A62" s="346" t="s">
        <v>335</v>
      </c>
      <c r="B62" s="370" t="s">
        <v>195</v>
      </c>
      <c r="C62" s="680" t="s">
        <v>336</v>
      </c>
      <c r="D62" s="335" t="s">
        <v>238</v>
      </c>
      <c r="E62" s="82">
        <v>805.26</v>
      </c>
      <c r="F62" s="82">
        <v>1772.2760000000001</v>
      </c>
      <c r="G62" s="686"/>
    </row>
    <row r="63" spans="1:7" s="192" customFormat="1">
      <c r="A63" s="346" t="s">
        <v>337</v>
      </c>
      <c r="B63" s="371" t="s">
        <v>338</v>
      </c>
      <c r="C63" s="680" t="s">
        <v>331</v>
      </c>
      <c r="D63" s="680" t="s">
        <v>208</v>
      </c>
      <c r="E63" s="360">
        <f>IF(E27=0,0,E60/E27)</f>
        <v>0.24853879278734275</v>
      </c>
      <c r="F63" s="425">
        <f>IF(F27=0,0,F60/F27)</f>
        <v>0.2252036415908002</v>
      </c>
      <c r="G63" s="127"/>
    </row>
    <row r="64" spans="1:7" ht="15.75">
      <c r="A64" s="346">
        <v>24</v>
      </c>
      <c r="B64" s="372" t="s">
        <v>339</v>
      </c>
      <c r="C64" s="680" t="s">
        <v>340</v>
      </c>
      <c r="D64" s="335" t="s">
        <v>238</v>
      </c>
      <c r="E64" s="373">
        <f>SUM(E65:E67)</f>
        <v>2551.4430000000002</v>
      </c>
      <c r="F64" s="429">
        <f>SUM(F65:F67)</f>
        <v>6468</v>
      </c>
    </row>
    <row r="65" spans="1:7" ht="15.75">
      <c r="A65" s="346" t="s">
        <v>341</v>
      </c>
      <c r="B65" s="374" t="s">
        <v>342</v>
      </c>
      <c r="C65" s="680"/>
      <c r="D65" s="335" t="s">
        <v>238</v>
      </c>
      <c r="E65" s="82">
        <v>2551.4430000000002</v>
      </c>
      <c r="F65" s="410">
        <v>6468</v>
      </c>
    </row>
    <row r="66" spans="1:7" ht="15.75">
      <c r="A66" s="346" t="s">
        <v>343</v>
      </c>
      <c r="B66" s="374" t="s">
        <v>344</v>
      </c>
      <c r="C66" s="680"/>
      <c r="D66" s="335" t="s">
        <v>238</v>
      </c>
      <c r="E66" s="82"/>
      <c r="F66" s="410"/>
    </row>
    <row r="67" spans="1:7" s="323" customFormat="1" ht="15.75">
      <c r="A67" s="346" t="s">
        <v>345</v>
      </c>
      <c r="B67" s="375" t="s">
        <v>346</v>
      </c>
      <c r="C67" s="680"/>
      <c r="D67" s="335" t="s">
        <v>238</v>
      </c>
      <c r="E67" s="82"/>
      <c r="F67" s="410"/>
      <c r="G67" s="127"/>
    </row>
    <row r="68" spans="1:7" ht="15.75">
      <c r="A68" s="346">
        <v>25</v>
      </c>
      <c r="B68" s="376" t="s">
        <v>347</v>
      </c>
      <c r="C68" s="335" t="s">
        <v>273</v>
      </c>
      <c r="D68" s="335" t="s">
        <v>274</v>
      </c>
      <c r="E68" s="337">
        <f>E69*860/7000</f>
        <v>11726.921957142858</v>
      </c>
      <c r="F68" s="417">
        <f>F69*860/7000</f>
        <v>24026.494857142858</v>
      </c>
    </row>
    <row r="69" spans="1:7" ht="15.75">
      <c r="A69" s="346">
        <v>26</v>
      </c>
      <c r="B69" s="351" t="s">
        <v>348</v>
      </c>
      <c r="C69" s="335" t="s">
        <v>349</v>
      </c>
      <c r="D69" s="680" t="s">
        <v>238</v>
      </c>
      <c r="E69" s="337">
        <f>SUMPRODUCT(E70:E74,E75:E79)/860</f>
        <v>95451.690348837219</v>
      </c>
      <c r="F69" s="417">
        <f>SUMPRODUCT(F70:F74,F75:F79)/860</f>
        <v>195564.49302325581</v>
      </c>
    </row>
    <row r="70" spans="1:7" ht="15.75">
      <c r="A70" s="346" t="s">
        <v>350</v>
      </c>
      <c r="B70" s="377" t="s">
        <v>124</v>
      </c>
      <c r="C70" s="680" t="s">
        <v>278</v>
      </c>
      <c r="D70" s="680" t="s">
        <v>279</v>
      </c>
      <c r="E70" s="378">
        <f t="shared" ref="E70:F74" si="1">SUM(E33,E50)</f>
        <v>83.489000000000004</v>
      </c>
      <c r="F70" s="430">
        <f t="shared" si="1"/>
        <v>106</v>
      </c>
    </row>
    <row r="71" spans="1:7" ht="15">
      <c r="A71" s="346" t="s">
        <v>351</v>
      </c>
      <c r="B71" s="377" t="s">
        <v>126</v>
      </c>
      <c r="C71" s="680" t="s">
        <v>281</v>
      </c>
      <c r="D71" s="680" t="s">
        <v>282</v>
      </c>
      <c r="E71" s="378">
        <f t="shared" si="1"/>
        <v>0</v>
      </c>
      <c r="F71" s="430">
        <f t="shared" si="1"/>
        <v>0</v>
      </c>
    </row>
    <row r="72" spans="1:7" ht="15">
      <c r="A72" s="346" t="s">
        <v>352</v>
      </c>
      <c r="B72" s="377" t="s">
        <v>128</v>
      </c>
      <c r="C72" s="680" t="s">
        <v>284</v>
      </c>
      <c r="D72" s="680" t="s">
        <v>282</v>
      </c>
      <c r="E72" s="378">
        <f t="shared" si="1"/>
        <v>0</v>
      </c>
      <c r="F72" s="430">
        <f t="shared" si="1"/>
        <v>0</v>
      </c>
    </row>
    <row r="73" spans="1:7" ht="15">
      <c r="A73" s="346" t="s">
        <v>353</v>
      </c>
      <c r="B73" s="377" t="s">
        <v>130</v>
      </c>
      <c r="C73" s="680" t="s">
        <v>286</v>
      </c>
      <c r="D73" s="680" t="s">
        <v>282</v>
      </c>
      <c r="E73" s="378">
        <f t="shared" si="1"/>
        <v>12297.12</v>
      </c>
      <c r="F73" s="430">
        <f t="shared" si="1"/>
        <v>24658</v>
      </c>
    </row>
    <row r="74" spans="1:7" ht="15.75">
      <c r="A74" s="346" t="s">
        <v>354</v>
      </c>
      <c r="B74" s="412" t="s">
        <v>288</v>
      </c>
      <c r="C74" s="680" t="s">
        <v>289</v>
      </c>
      <c r="D74" s="680" t="s">
        <v>290</v>
      </c>
      <c r="E74" s="378">
        <f t="shared" si="1"/>
        <v>4781.82</v>
      </c>
      <c r="F74" s="430">
        <f t="shared" si="1"/>
        <v>9727</v>
      </c>
    </row>
    <row r="75" spans="1:7" ht="15.75">
      <c r="A75" s="346" t="s">
        <v>355</v>
      </c>
      <c r="B75" s="379" t="s">
        <v>356</v>
      </c>
      <c r="C75" s="680" t="s">
        <v>357</v>
      </c>
      <c r="D75" s="680" t="s">
        <v>358</v>
      </c>
      <c r="E75" s="409">
        <v>8100</v>
      </c>
      <c r="F75" s="431">
        <v>8100</v>
      </c>
    </row>
    <row r="76" spans="1:7" ht="15.75">
      <c r="A76" s="346" t="s">
        <v>359</v>
      </c>
      <c r="B76" s="380" t="s">
        <v>126</v>
      </c>
      <c r="C76" s="680" t="s">
        <v>360</v>
      </c>
      <c r="D76" s="680" t="s">
        <v>361</v>
      </c>
      <c r="E76" s="409"/>
      <c r="F76" s="431"/>
    </row>
    <row r="77" spans="1:7" ht="15.75">
      <c r="A77" s="346" t="s">
        <v>362</v>
      </c>
      <c r="B77" s="380" t="s">
        <v>128</v>
      </c>
      <c r="C77" s="680" t="s">
        <v>363</v>
      </c>
      <c r="D77" s="680" t="s">
        <v>361</v>
      </c>
      <c r="E77" s="409"/>
      <c r="F77" s="431"/>
    </row>
    <row r="78" spans="1:7" ht="15.75">
      <c r="A78" s="346" t="s">
        <v>364</v>
      </c>
      <c r="B78" s="380" t="s">
        <v>130</v>
      </c>
      <c r="C78" s="680" t="s">
        <v>365</v>
      </c>
      <c r="D78" s="680" t="s">
        <v>361</v>
      </c>
      <c r="E78" s="409">
        <v>5065</v>
      </c>
      <c r="F78" s="431">
        <v>5208</v>
      </c>
    </row>
    <row r="79" spans="1:7" ht="15.75">
      <c r="A79" s="346" t="s">
        <v>366</v>
      </c>
      <c r="B79" s="412" t="s">
        <v>288</v>
      </c>
      <c r="C79" s="680" t="s">
        <v>367</v>
      </c>
      <c r="D79" s="381" t="s">
        <v>368</v>
      </c>
      <c r="E79" s="409">
        <v>4000</v>
      </c>
      <c r="F79" s="431">
        <v>4000</v>
      </c>
    </row>
    <row r="80" spans="1:7" ht="15.75">
      <c r="A80" s="346" t="s">
        <v>369</v>
      </c>
      <c r="B80" s="379" t="s">
        <v>370</v>
      </c>
      <c r="C80" s="680" t="s">
        <v>371</v>
      </c>
      <c r="D80" s="680" t="s">
        <v>358</v>
      </c>
      <c r="E80" s="409">
        <v>9000</v>
      </c>
      <c r="F80" s="431">
        <v>9000</v>
      </c>
    </row>
    <row r="81" spans="1:7" ht="15.75">
      <c r="A81" s="346" t="s">
        <v>372</v>
      </c>
      <c r="B81" s="380" t="s">
        <v>126</v>
      </c>
      <c r="C81" s="680" t="s">
        <v>373</v>
      </c>
      <c r="D81" s="680" t="s">
        <v>361</v>
      </c>
      <c r="E81" s="409"/>
      <c r="F81" s="431"/>
    </row>
    <row r="82" spans="1:7" ht="15.75">
      <c r="A82" s="346" t="s">
        <v>374</v>
      </c>
      <c r="B82" s="380" t="s">
        <v>128</v>
      </c>
      <c r="C82" s="680" t="s">
        <v>375</v>
      </c>
      <c r="D82" s="680" t="s">
        <v>361</v>
      </c>
      <c r="E82" s="409"/>
      <c r="F82" s="431"/>
    </row>
    <row r="83" spans="1:7" ht="15.75">
      <c r="A83" s="346" t="s">
        <v>376</v>
      </c>
      <c r="B83" s="382" t="s">
        <v>130</v>
      </c>
      <c r="C83" s="680" t="s">
        <v>377</v>
      </c>
      <c r="D83" s="680" t="s">
        <v>361</v>
      </c>
      <c r="E83" s="409">
        <v>6000</v>
      </c>
      <c r="F83" s="431">
        <v>6000</v>
      </c>
    </row>
    <row r="84" spans="1:7" ht="15.75">
      <c r="A84" s="346" t="s">
        <v>378</v>
      </c>
      <c r="B84" s="380" t="str">
        <f>$B$79</f>
        <v>друг вид гориво (ВЕИ)</v>
      </c>
      <c r="C84" s="680" t="s">
        <v>379</v>
      </c>
      <c r="D84" s="680" t="s">
        <v>380</v>
      </c>
      <c r="E84" s="409"/>
      <c r="F84" s="431"/>
      <c r="G84" s="686"/>
    </row>
    <row r="85" spans="1:7" ht="15.75">
      <c r="A85" s="346">
        <v>29</v>
      </c>
      <c r="B85" s="383" t="s">
        <v>381</v>
      </c>
      <c r="C85" s="381" t="s">
        <v>382</v>
      </c>
      <c r="D85" s="680" t="s">
        <v>383</v>
      </c>
      <c r="E85" s="378">
        <f>IF(E69=0,0,SUMPRODUCT(E70:E74,E86:E90)/E69)</f>
        <v>33.320795888647609</v>
      </c>
      <c r="F85" s="430">
        <f>IF(F69=0,0,SUMPRODUCT(F70:F74,F86:F90)/F69)</f>
        <v>70.830557049805449</v>
      </c>
    </row>
    <row r="86" spans="1:7" ht="15.75">
      <c r="A86" s="346" t="s">
        <v>384</v>
      </c>
      <c r="B86" s="380" t="s">
        <v>385</v>
      </c>
      <c r="C86" s="381" t="s">
        <v>386</v>
      </c>
      <c r="D86" s="680" t="s">
        <v>387</v>
      </c>
      <c r="E86" s="411">
        <v>961.06</v>
      </c>
      <c r="F86" s="432">
        <v>1202.58</v>
      </c>
    </row>
    <row r="87" spans="1:7" ht="15.75">
      <c r="A87" s="346" t="s">
        <v>388</v>
      </c>
      <c r="B87" s="380" t="s">
        <v>126</v>
      </c>
      <c r="C87" s="381" t="s">
        <v>389</v>
      </c>
      <c r="D87" s="680" t="s">
        <v>390</v>
      </c>
      <c r="E87" s="411"/>
      <c r="F87" s="432"/>
    </row>
    <row r="88" spans="1:7" ht="15.75">
      <c r="A88" s="346" t="s">
        <v>391</v>
      </c>
      <c r="B88" s="380" t="s">
        <v>128</v>
      </c>
      <c r="C88" s="381" t="s">
        <v>392</v>
      </c>
      <c r="D88" s="680" t="s">
        <v>390</v>
      </c>
      <c r="E88" s="411"/>
      <c r="F88" s="432"/>
    </row>
    <row r="89" spans="1:7" ht="15.75">
      <c r="A89" s="346" t="s">
        <v>393</v>
      </c>
      <c r="B89" s="380" t="s">
        <v>130</v>
      </c>
      <c r="C89" s="381" t="s">
        <v>394</v>
      </c>
      <c r="D89" s="680" t="s">
        <v>390</v>
      </c>
      <c r="E89" s="411">
        <v>184.52</v>
      </c>
      <c r="F89" s="432">
        <v>438.25</v>
      </c>
      <c r="G89" s="686"/>
    </row>
    <row r="90" spans="1:7" ht="15.75">
      <c r="A90" s="346" t="s">
        <v>395</v>
      </c>
      <c r="B90" s="380" t="str">
        <f>$B$79</f>
        <v>друг вид гориво (ВЕИ)</v>
      </c>
      <c r="C90" s="381" t="s">
        <v>396</v>
      </c>
      <c r="D90" s="381" t="s">
        <v>397</v>
      </c>
      <c r="E90" s="411">
        <v>173.83</v>
      </c>
      <c r="F90" s="432">
        <v>300</v>
      </c>
    </row>
    <row r="91" spans="1:7" ht="15.75">
      <c r="A91" s="346">
        <v>30</v>
      </c>
      <c r="B91" s="379" t="s">
        <v>398</v>
      </c>
      <c r="C91" s="680" t="s">
        <v>399</v>
      </c>
      <c r="D91" s="680" t="s">
        <v>300</v>
      </c>
      <c r="E91" s="384">
        <f>IF(E64=0,0,E27*E42/E64)</f>
        <v>1804.9235103312126</v>
      </c>
      <c r="F91" s="433">
        <f>IF(F64=0,0,F27*F42/F64)</f>
        <v>1458.7575015460729</v>
      </c>
    </row>
    <row r="92" spans="1:7" ht="15.75">
      <c r="A92" s="346">
        <v>31</v>
      </c>
      <c r="B92" s="385" t="s">
        <v>301</v>
      </c>
      <c r="C92" s="680" t="s">
        <v>400</v>
      </c>
      <c r="D92" s="680" t="s">
        <v>303</v>
      </c>
      <c r="E92" s="386">
        <f>IF(E8=0,0,SUM(E68,-E27*E42/1000)/E8*1000)</f>
        <v>100.87625180488192</v>
      </c>
      <c r="F92" s="434">
        <f>IF(F8=0,0,SUM(F68,-F27*F42/1000)/F8*1000)</f>
        <v>107.18694280530127</v>
      </c>
    </row>
    <row r="93" spans="1:7" ht="14.25">
      <c r="A93" s="346">
        <v>32</v>
      </c>
      <c r="B93" s="413">
        <v>0.6</v>
      </c>
      <c r="C93" s="335" t="s">
        <v>324</v>
      </c>
      <c r="D93" s="335" t="s">
        <v>292</v>
      </c>
      <c r="E93" s="342">
        <f>SUM(E38,E55)</f>
        <v>1910.2011375348836</v>
      </c>
      <c r="F93" s="422">
        <f>SUM(F38,F55)</f>
        <v>2425.2454883720925</v>
      </c>
    </row>
    <row r="94" spans="1:7" ht="14.25">
      <c r="A94" s="346">
        <v>33</v>
      </c>
      <c r="B94" s="414">
        <v>0.6</v>
      </c>
      <c r="C94" s="335" t="s">
        <v>293</v>
      </c>
      <c r="D94" s="335" t="s">
        <v>292</v>
      </c>
      <c r="E94" s="115">
        <f>SUM(E39,E56)</f>
        <v>187569.40125767438</v>
      </c>
      <c r="F94" s="422">
        <f>IF(F$49=0,0,SUM(F53*F83,F36*F83*(F51*F76/(F$49)))*0.86/3600000)</f>
        <v>0</v>
      </c>
    </row>
    <row r="95" spans="1:7" ht="18.75">
      <c r="A95" s="346">
        <v>34</v>
      </c>
      <c r="B95" s="379" t="s">
        <v>401</v>
      </c>
      <c r="C95" s="680"/>
      <c r="D95" s="680" t="s">
        <v>282</v>
      </c>
      <c r="E95" s="84">
        <v>24966</v>
      </c>
      <c r="F95" s="432">
        <v>50258</v>
      </c>
    </row>
    <row r="96" spans="1:7" ht="18.75">
      <c r="A96" s="346" t="s">
        <v>402</v>
      </c>
      <c r="B96" s="379" t="s">
        <v>403</v>
      </c>
      <c r="C96" s="680"/>
      <c r="D96" s="680" t="s">
        <v>282</v>
      </c>
      <c r="E96" s="378">
        <f>SUM(E95,-E97)</f>
        <v>1146</v>
      </c>
      <c r="F96" s="430">
        <f>SUM(F95,-F97)</f>
        <v>2904.9199999999983</v>
      </c>
    </row>
    <row r="97" spans="1:7" ht="18.75">
      <c r="A97" s="346" t="s">
        <v>404</v>
      </c>
      <c r="B97" s="379" t="s">
        <v>405</v>
      </c>
      <c r="C97" s="680"/>
      <c r="D97" s="680" t="s">
        <v>282</v>
      </c>
      <c r="E97" s="84">
        <v>23820</v>
      </c>
      <c r="F97" s="432">
        <v>47353.08</v>
      </c>
      <c r="G97" s="686"/>
    </row>
    <row r="98" spans="1:7" ht="15.75">
      <c r="A98" s="346" t="s">
        <v>406</v>
      </c>
      <c r="B98" s="379" t="s">
        <v>407</v>
      </c>
      <c r="C98" s="680"/>
      <c r="D98" s="680" t="s">
        <v>282</v>
      </c>
      <c r="E98" s="84">
        <v>7544</v>
      </c>
      <c r="F98" s="432">
        <v>28806</v>
      </c>
    </row>
    <row r="99" spans="1:7" ht="15.75">
      <c r="A99" s="346" t="s">
        <v>408</v>
      </c>
      <c r="B99" s="379" t="s">
        <v>409</v>
      </c>
      <c r="C99" s="680"/>
      <c r="D99" s="680" t="s">
        <v>282</v>
      </c>
      <c r="E99" s="84"/>
      <c r="F99" s="432"/>
    </row>
    <row r="100" spans="1:7" ht="15.75">
      <c r="A100" s="346">
        <v>35</v>
      </c>
      <c r="B100" s="379" t="s">
        <v>410</v>
      </c>
      <c r="C100" s="680" t="s">
        <v>411</v>
      </c>
      <c r="D100" s="680" t="s">
        <v>390</v>
      </c>
      <c r="E100" s="84">
        <v>110.039</v>
      </c>
      <c r="F100" s="432">
        <v>156.46639999999999</v>
      </c>
    </row>
    <row r="101" spans="1:7" ht="15.75">
      <c r="A101" s="346">
        <v>36</v>
      </c>
      <c r="B101" s="379" t="s">
        <v>412</v>
      </c>
      <c r="C101" s="680" t="s">
        <v>411</v>
      </c>
      <c r="D101" s="680" t="s">
        <v>390</v>
      </c>
      <c r="E101" s="84"/>
      <c r="F101" s="432"/>
    </row>
    <row r="102" spans="1:7" ht="15.75">
      <c r="A102" s="387">
        <v>37</v>
      </c>
      <c r="B102" s="563" t="s">
        <v>413</v>
      </c>
      <c r="C102" s="388" t="s">
        <v>414</v>
      </c>
      <c r="D102" s="388" t="s">
        <v>415</v>
      </c>
      <c r="E102" s="389">
        <f>SUM(E103:E104)</f>
        <v>1</v>
      </c>
      <c r="F102" s="435">
        <f>SUM(F103:F104)</f>
        <v>1</v>
      </c>
    </row>
    <row r="103" spans="1:7" ht="15.75">
      <c r="A103" s="346" t="s">
        <v>416</v>
      </c>
      <c r="B103" s="380" t="s">
        <v>245</v>
      </c>
      <c r="C103" s="680" t="s">
        <v>417</v>
      </c>
      <c r="D103" s="680" t="s">
        <v>415</v>
      </c>
      <c r="E103" s="82"/>
      <c r="F103" s="410"/>
    </row>
    <row r="104" spans="1:7" ht="15.75">
      <c r="A104" s="346" t="s">
        <v>418</v>
      </c>
      <c r="B104" s="380" t="s">
        <v>247</v>
      </c>
      <c r="C104" s="680" t="s">
        <v>419</v>
      </c>
      <c r="D104" s="680" t="s">
        <v>415</v>
      </c>
      <c r="E104" s="82">
        <v>1</v>
      </c>
      <c r="F104" s="410">
        <v>1</v>
      </c>
    </row>
    <row r="105" spans="1:7" ht="15.75">
      <c r="A105" s="346">
        <v>38</v>
      </c>
      <c r="B105" s="564" t="s">
        <v>420</v>
      </c>
      <c r="C105" s="680" t="s">
        <v>421</v>
      </c>
      <c r="D105" s="390" t="s">
        <v>422</v>
      </c>
      <c r="E105" s="391">
        <f>SUM(E106:E107)</f>
        <v>1511.1784693817619</v>
      </c>
      <c r="F105" s="436">
        <f>SUM(F106:F107)</f>
        <v>5379.3399876541271</v>
      </c>
    </row>
    <row r="106" spans="1:7" ht="15.75">
      <c r="A106" s="346" t="s">
        <v>423</v>
      </c>
      <c r="B106" s="565" t="s">
        <v>424</v>
      </c>
      <c r="C106" s="680"/>
      <c r="D106" s="390" t="s">
        <v>422</v>
      </c>
      <c r="E106" s="391">
        <f>ROUND(IF(E$27=0,0,РБА!D$69*НВ!$F$21),3)</f>
        <v>45.978999999999999</v>
      </c>
      <c r="F106" s="436">
        <f>ROUND(IF(F$27=0,0,РБА!G69*НВ!G21),3)</f>
        <v>31.922999999999998</v>
      </c>
    </row>
    <row r="107" spans="1:7" ht="15.75">
      <c r="A107" s="346" t="s">
        <v>425</v>
      </c>
      <c r="B107" s="565" t="s">
        <v>426</v>
      </c>
      <c r="C107" s="164"/>
      <c r="D107" s="390" t="s">
        <v>422</v>
      </c>
      <c r="E107" s="391">
        <f>SUM(E108:E109)</f>
        <v>1465.1994693817619</v>
      </c>
      <c r="F107" s="436">
        <f>SUM(F108:F109)</f>
        <v>5347.4169876541273</v>
      </c>
    </row>
    <row r="108" spans="1:7" ht="15.75">
      <c r="A108" s="346" t="s">
        <v>427</v>
      </c>
      <c r="B108" s="565" t="s">
        <v>428</v>
      </c>
      <c r="C108" s="164"/>
      <c r="D108" s="390" t="s">
        <v>422</v>
      </c>
      <c r="E108" s="391">
        <f>ROUND(IF(E$27=0,0,SUM(Разходи!D$14,Разходи!D$19,SUM(Разходи!D11,-SUM(Разходи!D14:D15,Разходи!D19:D20))*Коефициенти!E27)),3)</f>
        <v>186.428</v>
      </c>
      <c r="F108" s="436">
        <f>ROUND(IF(F$27=0,0,SUM(Разходи!G$14,Разходи!G$19,SUM(Разходи!G11,-SUM(Разходи!G14:G15,Разходи!G19:G20))*Коефициенти!F27)),3)</f>
        <v>233.6</v>
      </c>
    </row>
    <row r="109" spans="1:7" ht="15.75">
      <c r="A109" s="346" t="s">
        <v>429</v>
      </c>
      <c r="B109" s="565" t="s">
        <v>430</v>
      </c>
      <c r="C109" s="164"/>
      <c r="D109" s="390" t="s">
        <v>422</v>
      </c>
      <c r="E109" s="649">
        <f>ROUND(IF(E$27=0,0,SUM(Разходи!D$85,SUM(Разходи!D75:D78)*Коефициенти!E27)*(1-E$62/E$27)),3)+E27/Коефициенти!E22*F85/1000</f>
        <v>1278.771469381762</v>
      </c>
      <c r="F109" s="650">
        <f>ROUND(IF(F$27=0,0,SUM(Разходи!G$85,SUM(Разходи!G75:G78)*Коефициенти!F27)*(1-F$62/F$27)),3)+F27/Коефициенти!F22*F85/1000</f>
        <v>5113.8169876541269</v>
      </c>
    </row>
    <row r="110" spans="1:7" ht="15.75">
      <c r="A110" s="346">
        <v>39</v>
      </c>
      <c r="B110" s="392" t="s">
        <v>431</v>
      </c>
      <c r="C110" s="680" t="s">
        <v>432</v>
      </c>
      <c r="D110" s="680" t="s">
        <v>383</v>
      </c>
      <c r="E110" s="393">
        <f>IF(E$64=0,0,ROUND(E105/E$64*1000,2))</f>
        <v>592.28</v>
      </c>
      <c r="F110" s="437">
        <f>IF(F$64=0,0,ROUND(F105/F$64*1000,2))</f>
        <v>831.69</v>
      </c>
    </row>
    <row r="111" spans="1:7" ht="15.75">
      <c r="A111" s="346">
        <v>40</v>
      </c>
      <c r="B111" s="394" t="s">
        <v>433</v>
      </c>
      <c r="C111" s="680" t="s">
        <v>432</v>
      </c>
      <c r="D111" s="680" t="s">
        <v>383</v>
      </c>
      <c r="E111" s="395">
        <f>ROUND(IF(SUM(E$20,-E$14)=0,0,E112*1000/SUM(E$20,-E$14)),2)</f>
        <v>90.1</v>
      </c>
      <c r="F111" s="438">
        <f>ROUND(IF(SUM(F$20,-F$14)=0,0,F112*1000/SUM(F$20,-F$14)),2)</f>
        <v>127.71</v>
      </c>
    </row>
    <row r="112" spans="1:7" ht="15.75">
      <c r="A112" s="346" t="s">
        <v>434</v>
      </c>
      <c r="B112" s="566" t="s">
        <v>435</v>
      </c>
      <c r="C112" s="680" t="s">
        <v>436</v>
      </c>
      <c r="D112" s="390" t="s">
        <v>422</v>
      </c>
      <c r="E112" s="396">
        <f>SUM(Разходи!D8,-E$105)</f>
        <v>6361.3065466182388</v>
      </c>
      <c r="F112" s="439">
        <f>SUM(Разходи!G8,-F$105)</f>
        <v>17384.765446745874</v>
      </c>
    </row>
    <row r="113" spans="1:7" ht="15.75">
      <c r="A113" s="346" t="s">
        <v>437</v>
      </c>
      <c r="B113" s="566" t="s">
        <v>438</v>
      </c>
      <c r="C113" s="680"/>
      <c r="D113" s="390" t="s">
        <v>422</v>
      </c>
      <c r="E113" s="397">
        <f>SUM(Разходи!D$9,-E$106)</f>
        <v>340.95080000000002</v>
      </c>
      <c r="F113" s="440">
        <f>SUM(Разходи!G$9,-F$106)</f>
        <v>252.17531600000001</v>
      </c>
    </row>
    <row r="114" spans="1:7" ht="14.25">
      <c r="A114" s="346" t="s">
        <v>439</v>
      </c>
      <c r="B114" s="567" t="s">
        <v>440</v>
      </c>
      <c r="C114" s="164"/>
      <c r="D114" s="390" t="s">
        <v>422</v>
      </c>
      <c r="E114" s="397">
        <f>SUM(Разходи!D$10,-E$107)</f>
        <v>6020.3557466182392</v>
      </c>
      <c r="F114" s="440">
        <f>SUM(Разходи!G$10,-F$107)</f>
        <v>17132.590130745873</v>
      </c>
    </row>
    <row r="115" spans="1:7" ht="14.25">
      <c r="A115" s="346" t="s">
        <v>441</v>
      </c>
      <c r="B115" s="567" t="s">
        <v>442</v>
      </c>
      <c r="C115" s="164"/>
      <c r="D115" s="390" t="s">
        <v>422</v>
      </c>
      <c r="E115" s="397">
        <f>SUM(Разходи!D$11,-E$108)</f>
        <v>2342.4660000000003</v>
      </c>
      <c r="F115" s="440">
        <f>SUM(Разходи!G$11,-F$108)</f>
        <v>2617.2940000000003</v>
      </c>
    </row>
    <row r="116" spans="1:7" ht="15.75">
      <c r="A116" s="346" t="s">
        <v>443</v>
      </c>
      <c r="B116" s="566" t="s">
        <v>444</v>
      </c>
      <c r="C116" s="164"/>
      <c r="D116" s="390" t="s">
        <v>422</v>
      </c>
      <c r="E116" s="397">
        <f>SUM(Разходи!D$61,-E$109)</f>
        <v>3677.8897466182384</v>
      </c>
      <c r="F116" s="440">
        <f>SUM(Разходи!G$61,-F$109)</f>
        <v>14515.296130745874</v>
      </c>
    </row>
    <row r="117" spans="1:7" ht="15.75" hidden="1">
      <c r="A117" s="346">
        <v>41</v>
      </c>
      <c r="B117" s="562" t="s">
        <v>445</v>
      </c>
      <c r="C117" s="680"/>
      <c r="D117" s="680" t="s">
        <v>383</v>
      </c>
      <c r="E117" s="568"/>
      <c r="F117" s="569"/>
    </row>
    <row r="118" spans="1:7" s="322" customFormat="1" ht="15.75">
      <c r="A118" s="346">
        <v>41</v>
      </c>
      <c r="B118" s="392" t="s">
        <v>446</v>
      </c>
      <c r="C118" s="660" t="s">
        <v>447</v>
      </c>
      <c r="D118" s="660" t="s">
        <v>383</v>
      </c>
      <c r="E118" s="398">
        <f>SUM(E$110,E$117)</f>
        <v>592.28</v>
      </c>
      <c r="F118" s="441">
        <f>SUM(F$110,F$117)</f>
        <v>831.69</v>
      </c>
      <c r="G118" s="127"/>
    </row>
    <row r="119" spans="1:7" ht="15.75">
      <c r="A119" s="346">
        <v>42</v>
      </c>
      <c r="B119" s="399">
        <v>2008</v>
      </c>
      <c r="C119" s="680" t="s">
        <v>448</v>
      </c>
      <c r="D119" s="680" t="s">
        <v>383</v>
      </c>
      <c r="E119" s="400">
        <f>IF(B119&lt;2004,E110,E118)</f>
        <v>592.28</v>
      </c>
      <c r="F119" s="442">
        <f>IF(C119&lt;2004,F110,F118)</f>
        <v>831.69</v>
      </c>
    </row>
    <row r="120" spans="1:7" ht="15.75">
      <c r="A120" s="346">
        <v>43</v>
      </c>
      <c r="B120" s="379" t="s">
        <v>449</v>
      </c>
      <c r="C120" s="680" t="s">
        <v>450</v>
      </c>
      <c r="D120" s="680" t="s">
        <v>383</v>
      </c>
      <c r="E120" s="378">
        <f>E110</f>
        <v>592.28</v>
      </c>
      <c r="F120" s="430">
        <f>F110</f>
        <v>831.69</v>
      </c>
    </row>
    <row r="121" spans="1:7" ht="15.75">
      <c r="A121" s="346">
        <v>44</v>
      </c>
      <c r="B121" s="379" t="s">
        <v>451</v>
      </c>
      <c r="C121" s="680" t="s">
        <v>452</v>
      </c>
      <c r="D121" s="390" t="s">
        <v>422</v>
      </c>
      <c r="E121" s="401">
        <f>SUMPRODUCT(E65:E67,E118:E120)/1000</f>
        <v>1511.1686600400001</v>
      </c>
      <c r="F121" s="440">
        <f>SUMPRODUCT(F65:F67,F118:F120)/1000</f>
        <v>5379.3709200000003</v>
      </c>
    </row>
    <row r="122" spans="1:7" ht="15.75">
      <c r="A122" s="201">
        <v>45</v>
      </c>
      <c r="B122" s="443" t="s">
        <v>453</v>
      </c>
      <c r="C122" s="680" t="s">
        <v>436</v>
      </c>
      <c r="D122" s="390" t="s">
        <v>422</v>
      </c>
      <c r="E122" s="401">
        <f>SUM(Разходи!D$8,-E$121)</f>
        <v>6361.3163559600007</v>
      </c>
      <c r="F122" s="440">
        <f>SUM(Разходи!G$8,-F$121)</f>
        <v>17384.734514399999</v>
      </c>
    </row>
    <row r="123" spans="1:7" ht="15.75">
      <c r="A123" s="346">
        <v>46</v>
      </c>
      <c r="B123" s="559" t="s">
        <v>454</v>
      </c>
      <c r="C123" s="402" t="s">
        <v>455</v>
      </c>
      <c r="D123" s="680" t="s">
        <v>383</v>
      </c>
      <c r="E123" s="403">
        <f>IF(E8=0,0,ROUND(E122/E8*1000,2))</f>
        <v>90.1</v>
      </c>
      <c r="F123" s="444">
        <f>IF(F8=0,0,ROUND(F122/F8*1000,2))</f>
        <v>127.71</v>
      </c>
    </row>
    <row r="124" spans="1:7" ht="15.75">
      <c r="A124" s="346">
        <v>47</v>
      </c>
      <c r="B124" s="560" t="s">
        <v>456</v>
      </c>
      <c r="C124" s="404" t="s">
        <v>457</v>
      </c>
      <c r="D124" s="388" t="s">
        <v>383</v>
      </c>
      <c r="E124" s="405">
        <f>IF(E9=0,0,SUM(IF(E8=0,0,IF(Разходи!D8=0,0,E122/Разходи!D8*Разходи!D61)/E8*1000)*E9,IF(E102=0,0,SUM(E122,-IF(Разходи!D8=0,0,E122/Разходи!D8*Разходи!D61))/E102*E103*1000/E9)*E9)/E9)</f>
        <v>0</v>
      </c>
      <c r="F124" s="445">
        <f>IF(F9=0,0,SUM(IF(F8=0,0,IF(Разходи!G8=0,0,F122/Разходи!G8*Разходи!G61)/F8*1000)*F9,IF(F102=0,0,SUM(F122,-IF(Разходи!G8=0,0,F122/Разходи!G8*Разходи!G61))/F102*F103*1000/F9)*F9)/F9)</f>
        <v>0</v>
      </c>
    </row>
    <row r="125" spans="1:7" ht="16.5" thickBot="1">
      <c r="A125" s="446">
        <v>48</v>
      </c>
      <c r="B125" s="561" t="s">
        <v>458</v>
      </c>
      <c r="C125" s="447" t="s">
        <v>459</v>
      </c>
      <c r="D125" s="448" t="s">
        <v>383</v>
      </c>
      <c r="E125" s="449">
        <f>IF(E10=0,0,SUM(IF(E8=0,0,IF(Разходи!D8=0,0,E122/Разходи!D8*Разходи!D61)/E8*1000)*E10,IF(E102=0,0,SUM(E122,-IF(Разходи!D8=0,0,E122/Разходи!D8*Разходи!D61))/E102*E104*1000/E10)*E10)/E10)</f>
        <v>90.104907377724899</v>
      </c>
      <c r="F125" s="450">
        <f>IF(F10=0,0,SUM(IF(F8=0,0,IF(Разходи!G8=0,0,F122/Разходи!G8*Разходи!G61)/F8*1000)*F10,IF(F102=0,0,SUM(F122,-IF(Разходи!G8=0,0,F122/Разходи!G8*Разходи!G61))/F102*F104*1000/F10)*F10)/F10)</f>
        <v>127.70779565265298</v>
      </c>
    </row>
    <row r="126" spans="1:7" ht="13.5" thickTop="1"/>
    <row r="127" spans="1:7" ht="13.5" thickBot="1"/>
    <row r="128" spans="1:7" ht="32.25" customHeight="1" thickTop="1">
      <c r="A128" s="778" t="s">
        <v>22</v>
      </c>
      <c r="B128" s="782">
        <f>B5</f>
        <v>7.2022000000000004</v>
      </c>
      <c r="C128" s="774" t="s">
        <v>232</v>
      </c>
      <c r="D128" s="776" t="s">
        <v>233</v>
      </c>
      <c r="E128" s="325" t="s">
        <v>234</v>
      </c>
      <c r="F128" s="326" t="s">
        <v>460</v>
      </c>
    </row>
    <row r="129" spans="1:6" ht="15.75">
      <c r="A129" s="779"/>
      <c r="B129" s="783"/>
      <c r="C129" s="775"/>
      <c r="D129" s="777"/>
      <c r="E129" s="327">
        <f>($B$5-7.0001)*10000</f>
        <v>2021.0000000000061</v>
      </c>
      <c r="F129" s="511">
        <f>$B$5</f>
        <v>7.2022000000000004</v>
      </c>
    </row>
    <row r="130" spans="1:6">
      <c r="A130" s="328">
        <v>1</v>
      </c>
      <c r="B130" s="329">
        <v>2</v>
      </c>
      <c r="C130" s="330">
        <v>3</v>
      </c>
      <c r="D130" s="330">
        <v>4</v>
      </c>
      <c r="E130" s="331">
        <v>5</v>
      </c>
      <c r="F130" s="512">
        <v>6</v>
      </c>
    </row>
    <row r="131" spans="1:6" ht="15">
      <c r="A131" s="571">
        <v>1</v>
      </c>
      <c r="B131" s="570" t="s">
        <v>461</v>
      </c>
      <c r="C131" s="114"/>
      <c r="D131" s="313" t="s">
        <v>462</v>
      </c>
      <c r="E131" s="292">
        <f>SUM(E133,-E132)</f>
        <v>56</v>
      </c>
      <c r="F131" s="572">
        <f>SUM(F133,-F132)</f>
        <v>64</v>
      </c>
    </row>
    <row r="132" spans="1:6" ht="15">
      <c r="A132" s="571">
        <v>2</v>
      </c>
      <c r="B132" s="570" t="s">
        <v>463</v>
      </c>
      <c r="C132" s="114"/>
      <c r="D132" s="313" t="s">
        <v>462</v>
      </c>
      <c r="E132" s="289"/>
      <c r="F132" s="535"/>
    </row>
    <row r="133" spans="1:6" ht="16.5" thickBot="1">
      <c r="A133" s="573">
        <v>3</v>
      </c>
      <c r="B133" s="574" t="s">
        <v>464</v>
      </c>
      <c r="C133" s="460"/>
      <c r="D133" s="536" t="s">
        <v>462</v>
      </c>
      <c r="E133" s="575">
        <v>56</v>
      </c>
      <c r="F133" s="576">
        <v>64</v>
      </c>
    </row>
    <row r="134" spans="1:6" ht="14.25" thickTop="1">
      <c r="A134" s="531"/>
      <c r="B134" s="557"/>
      <c r="C134" s="533"/>
      <c r="D134" s="533"/>
      <c r="E134" s="533"/>
    </row>
    <row r="135" spans="1:6" ht="13.5">
      <c r="A135" s="531"/>
      <c r="B135" s="557"/>
      <c r="C135" s="533"/>
      <c r="D135" s="533"/>
      <c r="E135" s="533"/>
    </row>
    <row r="136" spans="1:6" ht="13.5">
      <c r="A136" s="531"/>
      <c r="B136" s="557"/>
      <c r="C136" s="533"/>
      <c r="D136" s="533"/>
      <c r="E136" s="533"/>
    </row>
    <row r="137" spans="1:6">
      <c r="F137" s="406"/>
    </row>
    <row r="138" spans="1:6" ht="15.75">
      <c r="A138" s="102" t="str">
        <f>Разходи!$A$91</f>
        <v>Гл. счетоводител:</v>
      </c>
      <c r="B138" s="407"/>
      <c r="C138" s="408" t="str">
        <f>Разходи!$E$91</f>
        <v>Изп. директор:</v>
      </c>
      <c r="D138" s="408"/>
      <c r="E138" s="674"/>
      <c r="F138" s="674"/>
    </row>
    <row r="139" spans="1:6">
      <c r="B139" s="674" t="str">
        <f>Разходи!$B$93</f>
        <v>/ Росен Иванов /</v>
      </c>
      <c r="C139" s="408"/>
      <c r="D139" s="771" t="str">
        <f>Разходи!$F$93</f>
        <v>/ Анатолий Ботов/</v>
      </c>
      <c r="E139" s="771"/>
      <c r="F139" s="771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487"/>
    <row r="488"/>
    <row r="489"/>
    <row r="490"/>
    <row r="491"/>
    <row r="492"/>
  </sheetData>
  <mergeCells count="11">
    <mergeCell ref="A5:A6"/>
    <mergeCell ref="B5:B6"/>
    <mergeCell ref="A128:A129"/>
    <mergeCell ref="B128:B129"/>
    <mergeCell ref="C128:C129"/>
    <mergeCell ref="D139:F139"/>
    <mergeCell ref="B1:C1"/>
    <mergeCell ref="B2:C2"/>
    <mergeCell ref="C5:C6"/>
    <mergeCell ref="D5:D6"/>
    <mergeCell ref="D128:D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r:id="rId1"/>
  <headerFooter alignWithMargins="0"/>
  <rowBreaks count="1" manualBreakCount="1">
    <brk id="92" max="16383" man="1"/>
  </rowBreaks>
  <ignoredErrors>
    <ignoredError sqref="E29 F29 E18:E19 F19 E17:F17 F18 E21:F21 E22:F22 E60:F60" unlockedFormula="1"/>
    <ignoredError sqref="E24:F24 E69 F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showGridLines="0" showZeros="0" workbookViewId="0">
      <pane ySplit="3" topLeftCell="A4" activePane="bottomLeft" state="frozen"/>
      <selection pane="bottomLeft" activeCell="C48" sqref="C48:C49"/>
    </sheetView>
  </sheetViews>
  <sheetFormatPr defaultColWidth="0" defaultRowHeight="12.75" zeroHeight="1"/>
  <cols>
    <col min="1" max="1" width="4.42578125" style="275" customWidth="1"/>
    <col min="2" max="2" width="59" style="275" customWidth="1"/>
    <col min="3" max="3" width="7.5703125" style="275" bestFit="1" customWidth="1"/>
    <col min="4" max="4" width="10.5703125" style="275" customWidth="1"/>
    <col min="5" max="5" width="12.85546875" style="275" customWidth="1"/>
    <col min="6" max="6" width="9.140625" style="275" customWidth="1"/>
    <col min="7" max="16384" width="0" style="275" hidden="1"/>
  </cols>
  <sheetData>
    <row r="1" spans="1:6" ht="18.75">
      <c r="A1" s="676"/>
      <c r="B1" s="800">
        <v>5</v>
      </c>
      <c r="C1" s="800"/>
      <c r="D1" s="274"/>
      <c r="E1" s="128" t="s">
        <v>465</v>
      </c>
    </row>
    <row r="2" spans="1:6" ht="15.75">
      <c r="A2" s="276"/>
      <c r="B2" s="801" t="s">
        <v>466</v>
      </c>
      <c r="C2" s="801"/>
      <c r="D2" s="276"/>
      <c r="E2" s="276"/>
    </row>
    <row r="3" spans="1:6">
      <c r="A3" s="277"/>
      <c r="B3" s="802" t="str">
        <f>'ТИП-ПРОИЗ'!$B$3:$C$3</f>
        <v>"ТЕЦ Горна Оряховица" ЕАД</v>
      </c>
      <c r="C3" s="802"/>
      <c r="D3" s="278"/>
      <c r="E3" s="278"/>
    </row>
    <row r="4" spans="1:6" ht="13.5" thickBot="1">
      <c r="A4" s="277"/>
      <c r="B4" s="277"/>
      <c r="C4" s="277"/>
      <c r="D4" s="278"/>
      <c r="E4" s="278"/>
    </row>
    <row r="5" spans="1:6" ht="13.5" thickTop="1">
      <c r="A5" s="790" t="s">
        <v>467</v>
      </c>
      <c r="B5" s="792" t="s">
        <v>468</v>
      </c>
      <c r="C5" s="794" t="s">
        <v>24</v>
      </c>
      <c r="D5" s="279" t="s">
        <v>234</v>
      </c>
      <c r="E5" s="280" t="s">
        <v>460</v>
      </c>
    </row>
    <row r="6" spans="1:6">
      <c r="A6" s="791"/>
      <c r="B6" s="793"/>
      <c r="C6" s="795"/>
      <c r="D6" s="281">
        <f>'ТИП-ПРОИЗ'!E6</f>
        <v>2021.0000000000061</v>
      </c>
      <c r="E6" s="640">
        <f>'ТИП-ПРОИЗ'!F6</f>
        <v>7.2022000000000004</v>
      </c>
    </row>
    <row r="7" spans="1:6" ht="15.75">
      <c r="A7" s="282">
        <v>1</v>
      </c>
      <c r="B7" s="283" t="s">
        <v>469</v>
      </c>
      <c r="C7" s="284" t="s">
        <v>238</v>
      </c>
      <c r="D7" s="285">
        <f>SUM(D8:D9)</f>
        <v>0</v>
      </c>
      <c r="E7" s="514">
        <f>SUM(E8:E9)</f>
        <v>0</v>
      </c>
      <c r="F7" s="286"/>
    </row>
    <row r="8" spans="1:6">
      <c r="A8" s="287">
        <v>2</v>
      </c>
      <c r="B8" s="288" t="s">
        <v>470</v>
      </c>
      <c r="C8" s="284" t="s">
        <v>238</v>
      </c>
      <c r="D8" s="51"/>
      <c r="E8" s="52"/>
      <c r="F8" s="286"/>
    </row>
    <row r="9" spans="1:6">
      <c r="A9" s="282">
        <v>3</v>
      </c>
      <c r="B9" s="290" t="s">
        <v>471</v>
      </c>
      <c r="C9" s="284" t="s">
        <v>238</v>
      </c>
      <c r="D9" s="51"/>
      <c r="E9" s="52"/>
      <c r="F9" s="286"/>
    </row>
    <row r="10" spans="1:6">
      <c r="A10" s="287">
        <v>4</v>
      </c>
      <c r="B10" s="291" t="s">
        <v>472</v>
      </c>
      <c r="C10" s="284" t="s">
        <v>238</v>
      </c>
      <c r="D10" s="53"/>
      <c r="E10" s="515"/>
    </row>
    <row r="11" spans="1:6">
      <c r="A11" s="282">
        <v>5</v>
      </c>
      <c r="B11" s="291" t="s">
        <v>472</v>
      </c>
      <c r="C11" s="292" t="s">
        <v>208</v>
      </c>
      <c r="D11" s="293">
        <f>IF(D12=0,0,ROUND(D10/D12,4))</f>
        <v>0</v>
      </c>
      <c r="E11" s="307">
        <f>IF(E12=0,0,ROUND(E10/E12,4))</f>
        <v>0</v>
      </c>
    </row>
    <row r="12" spans="1:6">
      <c r="A12" s="287">
        <v>6</v>
      </c>
      <c r="B12" s="291" t="s">
        <v>473</v>
      </c>
      <c r="C12" s="284" t="s">
        <v>238</v>
      </c>
      <c r="D12" s="294">
        <f>SUM(D7,D10)</f>
        <v>0</v>
      </c>
      <c r="E12" s="516">
        <f>SUM(E7,E10)</f>
        <v>0</v>
      </c>
    </row>
    <row r="13" spans="1:6" ht="13.5">
      <c r="A13" s="282">
        <v>7</v>
      </c>
      <c r="B13" s="295" t="s">
        <v>474</v>
      </c>
      <c r="C13" s="284" t="s">
        <v>422</v>
      </c>
      <c r="D13" s="296">
        <f>D20*D12/1000</f>
        <v>0</v>
      </c>
      <c r="E13" s="297">
        <f>E20*E12/1000</f>
        <v>0</v>
      </c>
    </row>
    <row r="14" spans="1:6">
      <c r="A14" s="287">
        <v>8</v>
      </c>
      <c r="B14" s="291" t="s">
        <v>475</v>
      </c>
      <c r="C14" s="284" t="s">
        <v>422</v>
      </c>
      <c r="D14" s="296">
        <f>SUM(D15:D16)</f>
        <v>0</v>
      </c>
      <c r="E14" s="297">
        <f>SUM(E15:E16)</f>
        <v>0</v>
      </c>
    </row>
    <row r="15" spans="1:6">
      <c r="A15" s="282">
        <v>9</v>
      </c>
      <c r="B15" s="291" t="s">
        <v>476</v>
      </c>
      <c r="C15" s="284" t="s">
        <v>422</v>
      </c>
      <c r="D15" s="296">
        <f>Разходи!E9</f>
        <v>0</v>
      </c>
      <c r="E15" s="297">
        <f>Разходи!H9</f>
        <v>0</v>
      </c>
    </row>
    <row r="16" spans="1:6">
      <c r="A16" s="287">
        <v>10</v>
      </c>
      <c r="B16" s="291" t="s">
        <v>477</v>
      </c>
      <c r="C16" s="284" t="s">
        <v>422</v>
      </c>
      <c r="D16" s="296">
        <f>SUM(D17:D18)</f>
        <v>0</v>
      </c>
      <c r="E16" s="297">
        <f>SUM(E17:E18)</f>
        <v>0</v>
      </c>
    </row>
    <row r="17" spans="1:6">
      <c r="A17" s="282">
        <v>11</v>
      </c>
      <c r="B17" s="291" t="s">
        <v>478</v>
      </c>
      <c r="C17" s="284" t="s">
        <v>422</v>
      </c>
      <c r="D17" s="296">
        <f>Разходи!E11</f>
        <v>0</v>
      </c>
      <c r="E17" s="297">
        <f>Разходи!H11</f>
        <v>0</v>
      </c>
    </row>
    <row r="18" spans="1:6">
      <c r="A18" s="287">
        <v>12</v>
      </c>
      <c r="B18" s="291" t="s">
        <v>479</v>
      </c>
      <c r="C18" s="284" t="s">
        <v>422</v>
      </c>
      <c r="D18" s="296">
        <f>Разходи!E61</f>
        <v>0</v>
      </c>
      <c r="E18" s="297">
        <f>Разходи!H61</f>
        <v>0</v>
      </c>
    </row>
    <row r="19" spans="1:6">
      <c r="A19" s="282">
        <v>13</v>
      </c>
      <c r="B19" s="291" t="s">
        <v>480</v>
      </c>
      <c r="C19" s="284" t="s">
        <v>422</v>
      </c>
      <c r="D19" s="296">
        <f>D10*D20/1000</f>
        <v>0</v>
      </c>
      <c r="E19" s="297">
        <f>E10*E20/1000</f>
        <v>0</v>
      </c>
    </row>
    <row r="20" spans="1:6" ht="13.5">
      <c r="A20" s="287">
        <v>14</v>
      </c>
      <c r="B20" s="298" t="s">
        <v>481</v>
      </c>
      <c r="C20" s="284" t="s">
        <v>482</v>
      </c>
      <c r="D20" s="299">
        <f>'ТИП-ПРОИЗ'!E124</f>
        <v>0</v>
      </c>
      <c r="E20" s="517">
        <f>'ТИП-ПРОИЗ'!F124</f>
        <v>0</v>
      </c>
      <c r="F20" s="286"/>
    </row>
    <row r="21" spans="1:6">
      <c r="A21" s="282">
        <v>15</v>
      </c>
      <c r="B21" s="300" t="s">
        <v>483</v>
      </c>
      <c r="C21" s="284" t="s">
        <v>482</v>
      </c>
      <c r="D21" s="301">
        <f>IF(D7=0,0,SUM(D14,D19)/D7*1000)</f>
        <v>0</v>
      </c>
      <c r="E21" s="518">
        <f>IF(E7=0,0,SUM(E14,E19)/E7*1000)</f>
        <v>0</v>
      </c>
      <c r="F21" s="286"/>
    </row>
    <row r="22" spans="1:6">
      <c r="A22" s="287">
        <v>16</v>
      </c>
      <c r="B22" s="300" t="s">
        <v>484</v>
      </c>
      <c r="C22" s="284" t="s">
        <v>482</v>
      </c>
      <c r="D22" s="301">
        <f>IF(D7=0,0,D19/D7*1000)</f>
        <v>0</v>
      </c>
      <c r="E22" s="518">
        <f>IF(E7=0,0,E19/E7*1000)</f>
        <v>0</v>
      </c>
      <c r="F22" s="286"/>
    </row>
    <row r="23" spans="1:6" ht="15.75">
      <c r="A23" s="282">
        <v>17</v>
      </c>
      <c r="B23" s="529" t="s">
        <v>485</v>
      </c>
      <c r="C23" s="284" t="s">
        <v>482</v>
      </c>
      <c r="D23" s="302">
        <f>ROUNDUP(IF(D7=0,0,SUM(D20*D12,D14*1000)/D7),2)</f>
        <v>0</v>
      </c>
      <c r="E23" s="303">
        <f>ROUNDUP(IF(E7=0,0,SUM(E20*E12,E14*1000)/E7),2)</f>
        <v>0</v>
      </c>
    </row>
    <row r="24" spans="1:6" ht="13.5" thickBot="1">
      <c r="A24" s="519">
        <v>18</v>
      </c>
      <c r="B24" s="520" t="s">
        <v>486</v>
      </c>
      <c r="C24" s="521" t="s">
        <v>116</v>
      </c>
      <c r="D24" s="522">
        <f>D23*D7/1000</f>
        <v>0</v>
      </c>
      <c r="E24" s="523">
        <f>E23*E7/1000</f>
        <v>0</v>
      </c>
    </row>
    <row r="25" spans="1:6" ht="13.5" thickTop="1">
      <c r="A25" s="277"/>
      <c r="B25" s="277"/>
      <c r="C25" s="277"/>
      <c r="D25" s="278"/>
      <c r="E25" s="278"/>
    </row>
    <row r="26" spans="1:6" ht="13.5" thickBot="1">
      <c r="A26" s="277"/>
      <c r="B26" s="277"/>
      <c r="C26" s="277"/>
      <c r="D26" s="278"/>
      <c r="E26" s="278"/>
    </row>
    <row r="27" spans="1:6" ht="13.5" customHeight="1" thickTop="1">
      <c r="A27" s="784" t="s">
        <v>467</v>
      </c>
      <c r="B27" s="804" t="s">
        <v>487</v>
      </c>
      <c r="C27" s="786" t="s">
        <v>24</v>
      </c>
      <c r="D27" s="643" t="s">
        <v>234</v>
      </c>
      <c r="E27" s="280" t="s">
        <v>460</v>
      </c>
    </row>
    <row r="28" spans="1:6" ht="13.5" customHeight="1">
      <c r="A28" s="785"/>
      <c r="B28" s="805"/>
      <c r="C28" s="787"/>
      <c r="D28" s="644">
        <f>D6</f>
        <v>2021.0000000000061</v>
      </c>
      <c r="E28" s="640">
        <f>E6</f>
        <v>7.2022000000000004</v>
      </c>
    </row>
    <row r="29" spans="1:6">
      <c r="A29" s="304">
        <v>1</v>
      </c>
      <c r="B29" s="305">
        <v>2</v>
      </c>
      <c r="C29" s="306">
        <v>3</v>
      </c>
      <c r="D29" s="641">
        <v>5</v>
      </c>
      <c r="E29" s="642">
        <v>8</v>
      </c>
    </row>
    <row r="30" spans="1:6" ht="15.75">
      <c r="A30" s="287">
        <v>1</v>
      </c>
      <c r="B30" s="530" t="s">
        <v>488</v>
      </c>
      <c r="C30" s="284" t="s">
        <v>238</v>
      </c>
      <c r="D30" s="79">
        <v>70599</v>
      </c>
      <c r="E30" s="80">
        <v>136129</v>
      </c>
    </row>
    <row r="31" spans="1:6">
      <c r="A31" s="287">
        <v>2</v>
      </c>
      <c r="B31" s="291" t="s">
        <v>472</v>
      </c>
      <c r="C31" s="284" t="s">
        <v>238</v>
      </c>
      <c r="D31" s="51"/>
      <c r="E31" s="52"/>
    </row>
    <row r="32" spans="1:6">
      <c r="A32" s="287">
        <v>3</v>
      </c>
      <c r="B32" s="291" t="s">
        <v>472</v>
      </c>
      <c r="C32" s="292" t="s">
        <v>208</v>
      </c>
      <c r="D32" s="293">
        <f>IF(D33=0,0,ROUND(D31/D33,4))</f>
        <v>0</v>
      </c>
      <c r="E32" s="307">
        <f>IF(E33=0,0,ROUND(E31/E33,4))</f>
        <v>0</v>
      </c>
    </row>
    <row r="33" spans="1:6">
      <c r="A33" s="287">
        <v>4</v>
      </c>
      <c r="B33" s="291" t="s">
        <v>489</v>
      </c>
      <c r="C33" s="284" t="s">
        <v>238</v>
      </c>
      <c r="D33" s="308">
        <f>SUM(D30:D31)</f>
        <v>70599</v>
      </c>
      <c r="E33" s="309">
        <f>SUM(E30:E31)</f>
        <v>136129</v>
      </c>
      <c r="F33" s="286"/>
    </row>
    <row r="34" spans="1:6">
      <c r="A34" s="287">
        <v>5</v>
      </c>
      <c r="B34" s="310" t="s">
        <v>490</v>
      </c>
      <c r="C34" s="284" t="s">
        <v>422</v>
      </c>
      <c r="D34" s="296">
        <f>D33*D41/1000</f>
        <v>6361.3163559600007</v>
      </c>
      <c r="E34" s="297">
        <f>E33*E41/1000</f>
        <v>17384.734514399999</v>
      </c>
      <c r="F34" s="286"/>
    </row>
    <row r="35" spans="1:6">
      <c r="A35" s="287">
        <v>6</v>
      </c>
      <c r="B35" s="291" t="s">
        <v>491</v>
      </c>
      <c r="C35" s="284" t="s">
        <v>422</v>
      </c>
      <c r="D35" s="296">
        <f>SUM(D36:D37)</f>
        <v>0</v>
      </c>
      <c r="E35" s="297">
        <f>SUM(E36:E37)</f>
        <v>0</v>
      </c>
      <c r="F35" s="286"/>
    </row>
    <row r="36" spans="1:6">
      <c r="A36" s="287">
        <v>7</v>
      </c>
      <c r="B36" s="291" t="s">
        <v>492</v>
      </c>
      <c r="C36" s="284" t="s">
        <v>422</v>
      </c>
      <c r="D36" s="51"/>
      <c r="E36" s="52"/>
      <c r="F36" s="286"/>
    </row>
    <row r="37" spans="1:6">
      <c r="A37" s="287">
        <v>8</v>
      </c>
      <c r="B37" s="291" t="s">
        <v>493</v>
      </c>
      <c r="C37" s="284" t="s">
        <v>422</v>
      </c>
      <c r="D37" s="296">
        <f>SUM(D38:D39)</f>
        <v>0</v>
      </c>
      <c r="E37" s="297">
        <f>SUM(E38:E39)</f>
        <v>0</v>
      </c>
      <c r="F37" s="286"/>
    </row>
    <row r="38" spans="1:6">
      <c r="A38" s="287">
        <v>9</v>
      </c>
      <c r="B38" s="291" t="s">
        <v>494</v>
      </c>
      <c r="C38" s="284" t="s">
        <v>422</v>
      </c>
      <c r="D38" s="296"/>
      <c r="E38" s="297"/>
      <c r="F38" s="286"/>
    </row>
    <row r="39" spans="1:6">
      <c r="A39" s="287">
        <v>10</v>
      </c>
      <c r="B39" s="291" t="s">
        <v>495</v>
      </c>
      <c r="C39" s="284" t="s">
        <v>422</v>
      </c>
      <c r="D39" s="296"/>
      <c r="E39" s="297"/>
      <c r="F39" s="286"/>
    </row>
    <row r="40" spans="1:6">
      <c r="A40" s="287">
        <v>11</v>
      </c>
      <c r="B40" s="291" t="s">
        <v>496</v>
      </c>
      <c r="C40" s="284" t="s">
        <v>422</v>
      </c>
      <c r="D40" s="296">
        <f>D31*D41/1000</f>
        <v>0</v>
      </c>
      <c r="E40" s="297">
        <f>E31*E41/1000</f>
        <v>0</v>
      </c>
      <c r="F40" s="286"/>
    </row>
    <row r="41" spans="1:6" ht="13.5">
      <c r="A41" s="287">
        <v>12</v>
      </c>
      <c r="B41" s="298" t="s">
        <v>497</v>
      </c>
      <c r="C41" s="284" t="s">
        <v>482</v>
      </c>
      <c r="D41" s="301">
        <f>'ТИП-ПРОИЗ'!E125</f>
        <v>90.104907377724899</v>
      </c>
      <c r="E41" s="518">
        <f>'ТИП-ПРОИЗ'!F125</f>
        <v>127.70779565265298</v>
      </c>
      <c r="F41" s="286"/>
    </row>
    <row r="42" spans="1:6">
      <c r="A42" s="287">
        <v>13</v>
      </c>
      <c r="B42" s="300" t="s">
        <v>498</v>
      </c>
      <c r="C42" s="284" t="s">
        <v>482</v>
      </c>
      <c r="D42" s="301">
        <f>IF(D30=0,0,SUM(D35,D40)/D30*1000)</f>
        <v>0</v>
      </c>
      <c r="E42" s="518">
        <f>IF(E30=0,0,SUM(E35,E40)/E30*1000)</f>
        <v>0</v>
      </c>
      <c r="F42" s="286"/>
    </row>
    <row r="43" spans="1:6">
      <c r="A43" s="287">
        <v>14</v>
      </c>
      <c r="B43" s="300" t="s">
        <v>499</v>
      </c>
      <c r="C43" s="284" t="s">
        <v>482</v>
      </c>
      <c r="D43" s="301">
        <f>IF(D30=0,0,D40/D30*1000)</f>
        <v>0</v>
      </c>
      <c r="E43" s="518">
        <f>IF(E30=0,0,E40/E30*1000)</f>
        <v>0</v>
      </c>
      <c r="F43" s="286"/>
    </row>
    <row r="44" spans="1:6" ht="15.75">
      <c r="A44" s="287">
        <v>15</v>
      </c>
      <c r="B44" s="529" t="s">
        <v>500</v>
      </c>
      <c r="C44" s="284" t="s">
        <v>482</v>
      </c>
      <c r="D44" s="311">
        <f>ROUNDUP(IF(D30=0,0,SUM(D41*D33,D35*1000)/D30),4)</f>
        <v>90.105000000000004</v>
      </c>
      <c r="E44" s="312">
        <f>ROUNDUP(IF(E30=0,0,SUM(E41*E33,E35*1000)/E30),4)</f>
        <v>127.70780000000001</v>
      </c>
      <c r="F44" s="286"/>
    </row>
    <row r="45" spans="1:6" ht="13.5" thickBot="1">
      <c r="A45" s="519">
        <v>16</v>
      </c>
      <c r="B45" s="520" t="s">
        <v>501</v>
      </c>
      <c r="C45" s="521" t="s">
        <v>116</v>
      </c>
      <c r="D45" s="522">
        <f>D44*D30/1000</f>
        <v>6361.3228950000002</v>
      </c>
      <c r="E45" s="523">
        <f>E44*E30/1000</f>
        <v>17384.735106200002</v>
      </c>
    </row>
    <row r="46" spans="1:6" s="117" customFormat="1" ht="13.5" thickTop="1"/>
    <row r="47" spans="1:6" s="117" customFormat="1" ht="13.5" thickBot="1"/>
    <row r="48" spans="1:6" ht="13.5" thickTop="1">
      <c r="A48" s="796" t="s">
        <v>467</v>
      </c>
      <c r="B48" s="798" t="s">
        <v>502</v>
      </c>
      <c r="C48" s="794" t="s">
        <v>24</v>
      </c>
      <c r="D48" s="279" t="s">
        <v>234</v>
      </c>
      <c r="E48" s="280" t="s">
        <v>460</v>
      </c>
    </row>
    <row r="49" spans="1:5">
      <c r="A49" s="797"/>
      <c r="B49" s="799"/>
      <c r="C49" s="795"/>
      <c r="D49" s="281">
        <f>D6</f>
        <v>2021.0000000000061</v>
      </c>
      <c r="E49" s="513">
        <f>E6</f>
        <v>7.2022000000000004</v>
      </c>
    </row>
    <row r="50" spans="1:5" ht="13.5">
      <c r="A50" s="545">
        <v>1</v>
      </c>
      <c r="B50" s="541" t="s">
        <v>503</v>
      </c>
      <c r="C50" s="313" t="s">
        <v>504</v>
      </c>
      <c r="D50" s="314">
        <f>SUM(D51,D54)</f>
        <v>0</v>
      </c>
      <c r="E50" s="534">
        <f>SUM(E51,E54)</f>
        <v>0</v>
      </c>
    </row>
    <row r="51" spans="1:5" ht="13.5">
      <c r="A51" s="546">
        <v>2</v>
      </c>
      <c r="B51" s="542" t="s">
        <v>505</v>
      </c>
      <c r="C51" s="313" t="s">
        <v>504</v>
      </c>
      <c r="D51" s="296">
        <f>SUM(D52:D53)</f>
        <v>0</v>
      </c>
      <c r="E51" s="297">
        <f>SUM(E52:E53)</f>
        <v>0</v>
      </c>
    </row>
    <row r="52" spans="1:5">
      <c r="A52" s="545">
        <v>3</v>
      </c>
      <c r="B52" s="543" t="s">
        <v>506</v>
      </c>
      <c r="C52" s="313" t="s">
        <v>504</v>
      </c>
      <c r="D52" s="289"/>
      <c r="E52" s="535"/>
    </row>
    <row r="53" spans="1:5">
      <c r="A53" s="546">
        <v>4</v>
      </c>
      <c r="B53" s="543" t="s">
        <v>507</v>
      </c>
      <c r="C53" s="313" t="s">
        <v>504</v>
      </c>
      <c r="D53" s="289"/>
      <c r="E53" s="535"/>
    </row>
    <row r="54" spans="1:5" ht="13.5">
      <c r="A54" s="545">
        <v>5</v>
      </c>
      <c r="B54" s="542" t="s">
        <v>508</v>
      </c>
      <c r="C54" s="313" t="s">
        <v>504</v>
      </c>
      <c r="D54" s="296">
        <f>SUM(D55:D56)</f>
        <v>0</v>
      </c>
      <c r="E54" s="297">
        <f>SUM(E55:E56)</f>
        <v>0</v>
      </c>
    </row>
    <row r="55" spans="1:5">
      <c r="A55" s="546">
        <v>6</v>
      </c>
      <c r="B55" s="543" t="s">
        <v>506</v>
      </c>
      <c r="C55" s="313" t="s">
        <v>504</v>
      </c>
      <c r="D55" s="289"/>
      <c r="E55" s="535"/>
    </row>
    <row r="56" spans="1:5">
      <c r="A56" s="547">
        <v>7</v>
      </c>
      <c r="B56" s="544" t="s">
        <v>507</v>
      </c>
      <c r="C56" s="537" t="s">
        <v>504</v>
      </c>
      <c r="D56" s="538"/>
      <c r="E56" s="539"/>
    </row>
    <row r="57" spans="1:5" ht="13.5" thickBot="1">
      <c r="A57" s="548">
        <v>8</v>
      </c>
      <c r="B57" s="577" t="s">
        <v>509</v>
      </c>
      <c r="C57" s="536" t="s">
        <v>462</v>
      </c>
      <c r="D57" s="536">
        <f>'ТИП-ПРОИЗ'!E132</f>
        <v>0</v>
      </c>
      <c r="E57" s="540">
        <f>'ТИП-ПРОИЗ'!F132</f>
        <v>0</v>
      </c>
    </row>
    <row r="58" spans="1:5" ht="13.5" thickTop="1">
      <c r="A58" s="531"/>
      <c r="B58" s="532"/>
      <c r="C58" s="533"/>
      <c r="D58" s="533"/>
      <c r="E58" s="533"/>
    </row>
    <row r="59" spans="1:5" ht="13.5" thickBot="1"/>
    <row r="60" spans="1:5" ht="13.5" thickTop="1">
      <c r="A60" s="788" t="s">
        <v>510</v>
      </c>
      <c r="B60" s="549" t="s">
        <v>511</v>
      </c>
      <c r="C60" s="550" t="s">
        <v>32</v>
      </c>
      <c r="D60" s="551">
        <f>SUM('ТИП-ПРОИЗ'!E122,Разходи!E8)</f>
        <v>6361.3163559600007</v>
      </c>
      <c r="E60" s="552">
        <f>SUM('ТИП-ПРОИЗ'!F122,Разходи!H8)</f>
        <v>17384.734514399999</v>
      </c>
    </row>
    <row r="61" spans="1:5" ht="13.5" thickBot="1">
      <c r="A61" s="789"/>
      <c r="B61" s="553" t="s">
        <v>512</v>
      </c>
      <c r="C61" s="554" t="s">
        <v>32</v>
      </c>
      <c r="D61" s="555">
        <f>ROUND(SUM(D7*D23,D30*D44)/1000,0)</f>
        <v>6361</v>
      </c>
      <c r="E61" s="556">
        <f>ROUND(SUM(E7*E23,E30*E44)/1000,0)</f>
        <v>17385</v>
      </c>
    </row>
    <row r="62" spans="1:5" ht="13.5" thickTop="1">
      <c r="A62" s="315"/>
      <c r="B62" s="316"/>
      <c r="C62" s="316"/>
      <c r="D62" s="316"/>
      <c r="E62" s="316"/>
    </row>
    <row r="63" spans="1:5">
      <c r="A63" s="316"/>
      <c r="B63" s="316"/>
      <c r="C63" s="316"/>
      <c r="D63" s="316"/>
      <c r="E63" s="316"/>
    </row>
    <row r="64" spans="1:5">
      <c r="A64" s="316"/>
      <c r="B64" s="316"/>
      <c r="C64" s="316"/>
      <c r="D64" s="316"/>
      <c r="E64" s="316"/>
    </row>
    <row r="65" spans="1:5">
      <c r="A65" s="316"/>
      <c r="B65" s="316"/>
      <c r="C65" s="316"/>
      <c r="D65" s="316"/>
      <c r="E65" s="316"/>
    </row>
    <row r="66" spans="1:5" ht="15.75">
      <c r="A66" s="317" t="str">
        <f>Разходи!$A$91</f>
        <v>Гл. счетоводител:</v>
      </c>
      <c r="B66" s="318"/>
      <c r="D66" s="319"/>
      <c r="E66" s="319"/>
    </row>
    <row r="67" spans="1:5">
      <c r="A67" s="317"/>
      <c r="B67" s="677" t="str">
        <f>Разходи!$B$93</f>
        <v>/ Росен Иванов /</v>
      </c>
      <c r="D67" s="803" t="str">
        <f>Разходи!$F$93</f>
        <v>/ Анатолий Ботов/</v>
      </c>
      <c r="E67" s="803"/>
    </row>
    <row r="68" spans="1:5"/>
    <row r="69" spans="1:5"/>
    <row r="70" spans="1:5"/>
    <row r="71" spans="1:5"/>
    <row r="162"/>
    <row r="163"/>
    <row r="164"/>
  </sheetData>
  <mergeCells count="14">
    <mergeCell ref="B1:C1"/>
    <mergeCell ref="B2:C2"/>
    <mergeCell ref="B3:C3"/>
    <mergeCell ref="D67:E67"/>
    <mergeCell ref="B27:B28"/>
    <mergeCell ref="A27:A28"/>
    <mergeCell ref="C27:C28"/>
    <mergeCell ref="A60:A61"/>
    <mergeCell ref="A5:A6"/>
    <mergeCell ref="B5:B6"/>
    <mergeCell ref="C5:C6"/>
    <mergeCell ref="A48:A49"/>
    <mergeCell ref="B48:B49"/>
    <mergeCell ref="C48:C49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91"/>
  <sheetViews>
    <sheetView showGridLines="0" showZeros="0" topLeftCell="A17" zoomScale="110" zoomScaleNormal="110" workbookViewId="0">
      <selection activeCell="F39" sqref="F39"/>
    </sheetView>
  </sheetViews>
  <sheetFormatPr defaultColWidth="0" defaultRowHeight="0" customHeight="1" zeroHeight="1"/>
  <cols>
    <col min="1" max="1" width="5.140625" style="609" customWidth="1"/>
    <col min="2" max="2" width="56.5703125" style="1" customWidth="1"/>
    <col min="3" max="3" width="8.5703125" style="1" customWidth="1"/>
    <col min="4" max="4" width="7.5703125" style="1" customWidth="1"/>
    <col min="5" max="5" width="10.5703125" style="19" customWidth="1"/>
    <col min="6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81"/>
      <c r="B1" s="806">
        <v>6</v>
      </c>
      <c r="C1" s="806"/>
      <c r="D1" s="582"/>
      <c r="E1" s="582"/>
      <c r="F1" s="128" t="s">
        <v>513</v>
      </c>
    </row>
    <row r="2" spans="1:58" ht="14.25" customHeight="1">
      <c r="A2" s="582"/>
      <c r="B2" s="581"/>
      <c r="C2" s="582"/>
      <c r="D2" s="582"/>
      <c r="E2" s="582"/>
      <c r="F2" s="582"/>
    </row>
    <row r="3" spans="1:58" ht="14.25" customHeight="1">
      <c r="A3" s="583"/>
      <c r="B3" s="807" t="s">
        <v>514</v>
      </c>
      <c r="C3" s="807"/>
      <c r="D3" s="678"/>
      <c r="E3" s="678"/>
      <c r="F3" s="678"/>
    </row>
    <row r="4" spans="1:58" ht="14.25" customHeight="1">
      <c r="A4" s="584"/>
      <c r="B4" s="808" t="str">
        <f>'ТИП-ПРОИЗ'!$B$3:$C$3</f>
        <v>"ТЕЦ Горна Оряховица" ЕАД</v>
      </c>
      <c r="C4" s="808"/>
      <c r="D4" s="584"/>
      <c r="E4" s="584"/>
      <c r="F4" s="584"/>
    </row>
    <row r="5" spans="1:58" ht="14.25" customHeight="1" thickBot="1">
      <c r="A5" s="585"/>
      <c r="B5" s="586"/>
      <c r="C5" s="586"/>
      <c r="D5" s="586"/>
      <c r="E5" s="586"/>
      <c r="F5" s="586"/>
    </row>
    <row r="6" spans="1:58" ht="14.25" customHeight="1" thickTop="1" thickBot="1">
      <c r="A6" s="810" t="s">
        <v>22</v>
      </c>
      <c r="B6" s="812" t="s">
        <v>515</v>
      </c>
      <c r="C6" s="812" t="s">
        <v>232</v>
      </c>
      <c r="D6" s="812" t="s">
        <v>233</v>
      </c>
      <c r="E6" s="279" t="s">
        <v>234</v>
      </c>
      <c r="F6" s="280" t="s">
        <v>460</v>
      </c>
    </row>
    <row r="7" spans="1:58" ht="13.5" thickTop="1">
      <c r="A7" s="811"/>
      <c r="B7" s="813"/>
      <c r="C7" s="813"/>
      <c r="D7" s="813"/>
      <c r="E7" s="75">
        <f>'ТИП-ПРОИЗ'!E6</f>
        <v>2021.0000000000061</v>
      </c>
      <c r="F7" s="645">
        <f>'ТИП-ПРОИЗ'!F6</f>
        <v>7.2022000000000004</v>
      </c>
    </row>
    <row r="8" spans="1:58" ht="13.5" customHeight="1">
      <c r="A8" s="587">
        <v>1</v>
      </c>
      <c r="B8" s="588">
        <v>2</v>
      </c>
      <c r="C8" s="588">
        <v>3</v>
      </c>
      <c r="D8" s="589">
        <v>4</v>
      </c>
      <c r="E8" s="588">
        <v>5</v>
      </c>
      <c r="F8" s="590">
        <v>6</v>
      </c>
      <c r="G8" s="591"/>
    </row>
    <row r="9" spans="1:58" ht="14.25" customHeight="1">
      <c r="A9" s="592">
        <v>1</v>
      </c>
      <c r="B9" s="593" t="s">
        <v>516</v>
      </c>
      <c r="C9" s="594" t="s">
        <v>517</v>
      </c>
      <c r="D9" s="666" t="s">
        <v>282</v>
      </c>
      <c r="E9" s="595">
        <v>95286</v>
      </c>
      <c r="F9" s="596">
        <v>181678</v>
      </c>
    </row>
    <row r="10" spans="1:58" ht="14.25" customHeight="1">
      <c r="A10" s="592">
        <v>2</v>
      </c>
      <c r="B10" s="593" t="s">
        <v>518</v>
      </c>
      <c r="C10" s="594" t="s">
        <v>519</v>
      </c>
      <c r="D10" s="666" t="s">
        <v>520</v>
      </c>
      <c r="E10" s="595">
        <v>3213</v>
      </c>
      <c r="F10" s="596">
        <v>3213</v>
      </c>
    </row>
    <row r="11" spans="1:58" ht="14.25" customHeight="1">
      <c r="A11" s="592">
        <v>3</v>
      </c>
      <c r="B11" s="593" t="s">
        <v>521</v>
      </c>
      <c r="C11" s="594" t="s">
        <v>522</v>
      </c>
      <c r="D11" s="666" t="s">
        <v>282</v>
      </c>
      <c r="E11" s="597">
        <f>ROUND(E9*1.05,0)</f>
        <v>100050</v>
      </c>
      <c r="F11" s="597">
        <f>ROUND(F9*1.05,0)</f>
        <v>190762</v>
      </c>
    </row>
    <row r="12" spans="1:58" ht="14.25" customHeight="1">
      <c r="A12" s="592">
        <v>4</v>
      </c>
      <c r="B12" s="593" t="s">
        <v>523</v>
      </c>
      <c r="C12" s="594" t="s">
        <v>524</v>
      </c>
      <c r="D12" s="666" t="s">
        <v>525</v>
      </c>
      <c r="E12" s="599">
        <v>100</v>
      </c>
      <c r="F12" s="596">
        <v>100</v>
      </c>
    </row>
    <row r="13" spans="1:58" ht="14.25" customHeight="1">
      <c r="A13" s="592">
        <v>5</v>
      </c>
      <c r="B13" s="593" t="s">
        <v>526</v>
      </c>
      <c r="C13" s="594" t="s">
        <v>527</v>
      </c>
      <c r="D13" s="666" t="s">
        <v>520</v>
      </c>
      <c r="E13" s="599">
        <v>419</v>
      </c>
      <c r="F13" s="596">
        <v>419</v>
      </c>
    </row>
    <row r="14" spans="1:58" ht="12.75" customHeight="1">
      <c r="A14" s="592">
        <v>6</v>
      </c>
      <c r="B14" s="593" t="s">
        <v>528</v>
      </c>
      <c r="C14" s="600" t="s">
        <v>529</v>
      </c>
      <c r="D14" s="666" t="s">
        <v>238</v>
      </c>
      <c r="E14" s="597">
        <f>IF(E9=0,0,(E9*E10-E11*E13)/3600)</f>
        <v>73398.046666666662</v>
      </c>
      <c r="F14" s="598">
        <f>IF(F9=0,0,(F9*F10-F11*F13)/3600)</f>
        <v>139945.03777777779</v>
      </c>
      <c r="H14" s="601"/>
      <c r="I14" s="601"/>
      <c r="J14" s="601"/>
      <c r="K14" s="601"/>
      <c r="L14" s="601"/>
      <c r="M14" s="601"/>
      <c r="N14" s="601"/>
      <c r="O14" s="601"/>
      <c r="P14" s="601"/>
      <c r="Q14" s="601"/>
      <c r="R14" s="601"/>
      <c r="S14" s="601"/>
      <c r="T14" s="601"/>
      <c r="U14" s="601"/>
      <c r="V14" s="601"/>
      <c r="W14" s="601"/>
      <c r="X14" s="601"/>
      <c r="Y14" s="601"/>
      <c r="Z14" s="601"/>
      <c r="AA14" s="601"/>
      <c r="AB14" s="601"/>
      <c r="AC14" s="601"/>
      <c r="AD14" s="601"/>
      <c r="AE14" s="601"/>
      <c r="AF14" s="601"/>
      <c r="AG14" s="601"/>
      <c r="AH14" s="601"/>
      <c r="AI14" s="601"/>
      <c r="AJ14" s="601"/>
      <c r="AK14" s="601"/>
      <c r="AL14" s="601"/>
      <c r="AM14" s="601"/>
      <c r="AN14" s="601"/>
      <c r="AO14" s="601"/>
      <c r="AP14" s="601"/>
      <c r="AQ14" s="601"/>
      <c r="AR14" s="601"/>
      <c r="AS14" s="601"/>
      <c r="AT14" s="601"/>
      <c r="AU14" s="601"/>
      <c r="AV14" s="601"/>
      <c r="AW14" s="601"/>
      <c r="AX14" s="601"/>
      <c r="AY14" s="601"/>
      <c r="AZ14" s="601"/>
      <c r="BA14" s="601"/>
      <c r="BB14" s="601"/>
      <c r="BC14" s="601"/>
      <c r="BD14" s="601"/>
      <c r="BE14" s="601"/>
      <c r="BF14" s="601"/>
    </row>
    <row r="15" spans="1:58" ht="12.75" customHeight="1">
      <c r="A15" s="592">
        <v>7</v>
      </c>
      <c r="B15" s="593" t="s">
        <v>530</v>
      </c>
      <c r="C15" s="55" t="s">
        <v>531</v>
      </c>
      <c r="D15" s="666" t="s">
        <v>208</v>
      </c>
      <c r="E15" s="602">
        <f>IF(E9=0,0,IF('ТИП-ПРОИЗ'!E32=0,0,E14/'ТИП-ПРОИЗ'!E32))</f>
        <v>0.76895492019750156</v>
      </c>
      <c r="F15" s="603">
        <f>IF(F9=0,0,IF('ТИП-ПРОИЗ'!F32=0,0,F14/'ТИП-ПРОИЗ'!F32))</f>
        <v>0.71559532935141656</v>
      </c>
      <c r="H15" s="601"/>
      <c r="I15" s="601"/>
      <c r="J15" s="601"/>
      <c r="K15" s="601"/>
      <c r="L15" s="601"/>
      <c r="M15" s="601"/>
      <c r="N15" s="601"/>
      <c r="O15" s="601"/>
      <c r="P15" s="601"/>
      <c r="Q15" s="601"/>
      <c r="R15" s="601"/>
      <c r="S15" s="601"/>
      <c r="T15" s="601"/>
      <c r="U15" s="601"/>
      <c r="V15" s="601"/>
      <c r="W15" s="601"/>
      <c r="X15" s="601"/>
      <c r="Y15" s="601"/>
      <c r="Z15" s="601"/>
      <c r="AA15" s="601"/>
      <c r="AB15" s="601"/>
      <c r="AC15" s="601"/>
      <c r="AD15" s="601"/>
      <c r="AE15" s="601"/>
      <c r="AF15" s="601"/>
      <c r="AG15" s="601"/>
      <c r="AH15" s="601"/>
      <c r="AI15" s="601"/>
      <c r="AJ15" s="601"/>
      <c r="AK15" s="601"/>
      <c r="AL15" s="601"/>
      <c r="AM15" s="601"/>
      <c r="AN15" s="601"/>
      <c r="AO15" s="601"/>
      <c r="AP15" s="601"/>
      <c r="AQ15" s="601"/>
      <c r="AR15" s="601"/>
      <c r="AS15" s="601"/>
      <c r="AT15" s="601"/>
      <c r="AU15" s="601"/>
      <c r="AV15" s="601"/>
      <c r="AW15" s="601"/>
      <c r="AX15" s="601"/>
      <c r="AY15" s="601"/>
      <c r="AZ15" s="601"/>
      <c r="BA15" s="601"/>
      <c r="BB15" s="601"/>
      <c r="BC15" s="601"/>
      <c r="BD15" s="601"/>
      <c r="BE15" s="601"/>
      <c r="BF15" s="601"/>
    </row>
    <row r="16" spans="1:58" ht="12.75" customHeight="1">
      <c r="A16" s="592">
        <v>8</v>
      </c>
      <c r="B16" s="604" t="s">
        <v>532</v>
      </c>
      <c r="C16" s="55" t="s">
        <v>533</v>
      </c>
      <c r="D16" s="666" t="s">
        <v>534</v>
      </c>
      <c r="E16" s="605">
        <v>0.98</v>
      </c>
      <c r="F16" s="606">
        <v>0.98</v>
      </c>
    </row>
    <row r="17" spans="1:7" ht="14.25">
      <c r="A17" s="592">
        <v>9</v>
      </c>
      <c r="B17" s="632" t="s">
        <v>535</v>
      </c>
      <c r="C17" s="633" t="s">
        <v>536</v>
      </c>
      <c r="D17" s="666" t="s">
        <v>208</v>
      </c>
      <c r="E17" s="607">
        <v>0.83</v>
      </c>
      <c r="F17" s="608">
        <v>0.83</v>
      </c>
    </row>
    <row r="18" spans="1:7" ht="14.25">
      <c r="A18" s="592">
        <v>10</v>
      </c>
      <c r="B18" s="632" t="s">
        <v>537</v>
      </c>
      <c r="C18" s="633" t="s">
        <v>538</v>
      </c>
      <c r="D18" s="666" t="s">
        <v>208</v>
      </c>
      <c r="E18" s="607">
        <v>0.37759999999999999</v>
      </c>
      <c r="F18" s="608">
        <v>0.37759999999999999</v>
      </c>
    </row>
    <row r="19" spans="1:7" ht="14.25">
      <c r="A19" s="592">
        <v>11</v>
      </c>
      <c r="B19" s="632" t="s">
        <v>539</v>
      </c>
      <c r="C19" s="634" t="s">
        <v>540</v>
      </c>
      <c r="D19" s="666" t="s">
        <v>208</v>
      </c>
      <c r="E19" s="578">
        <f>SUM(E20:E21)</f>
        <v>0.77520166484218356</v>
      </c>
      <c r="F19" s="580">
        <f>SUM(F20:F21)</f>
        <v>0.73876907706349337</v>
      </c>
    </row>
    <row r="20" spans="1:7" ht="14.25">
      <c r="A20" s="592">
        <v>12</v>
      </c>
      <c r="B20" s="632" t="s">
        <v>541</v>
      </c>
      <c r="C20" s="633" t="s">
        <v>542</v>
      </c>
      <c r="D20" s="666" t="s">
        <v>208</v>
      </c>
      <c r="E20" s="610">
        <f>IF('ТИП-ПРОИЗ'!E32=0,0,SUM('ТИП-ПРОИЗ'!E8,-'ТИП-ПРОИЗ'!E45)/'ТИП-ПРОИЗ'!E32)</f>
        <v>0.73963069695256312</v>
      </c>
      <c r="F20" s="579">
        <f>IF('ТИП-ПРОИЗ'!F32=0,0,SUM('ТИП-ПРОИЗ'!F8,-'ТИП-ПРОИЗ'!F45)/'ТИП-ПРОИЗ'!F32)</f>
        <v>0.69608239160265151</v>
      </c>
    </row>
    <row r="21" spans="1:7" ht="17.25" customHeight="1">
      <c r="A21" s="592">
        <v>13</v>
      </c>
      <c r="B21" s="632" t="s">
        <v>543</v>
      </c>
      <c r="C21" s="633" t="s">
        <v>544</v>
      </c>
      <c r="D21" s="666" t="s">
        <v>208</v>
      </c>
      <c r="E21" s="610">
        <f>IF('ТИП-ПРОИЗ'!E32=0,0,'ТИП-ПРОИЗ'!E27/'ТИП-ПРОИЗ'!E32)</f>
        <v>3.5570967889620393E-2</v>
      </c>
      <c r="F21" s="579">
        <f>IF('ТИП-ПРОИЗ'!F32=0,0,'ТИП-ПРОИЗ'!F27/'ТИП-ПРОИЗ'!F32)</f>
        <v>4.2686685460841811E-2</v>
      </c>
    </row>
    <row r="22" spans="1:7" ht="20.25" customHeight="1">
      <c r="A22" s="592">
        <v>21</v>
      </c>
      <c r="B22" s="657" t="s">
        <v>545</v>
      </c>
      <c r="C22" s="651" t="s">
        <v>546</v>
      </c>
      <c r="D22" s="616" t="s">
        <v>208</v>
      </c>
      <c r="E22" s="652">
        <v>0.39269999999999999</v>
      </c>
      <c r="F22" s="653">
        <v>0.39269999999999999</v>
      </c>
    </row>
    <row r="23" spans="1:7" ht="12.75">
      <c r="A23" s="592">
        <v>22</v>
      </c>
      <c r="B23" s="613" t="s">
        <v>547</v>
      </c>
      <c r="C23" s="654"/>
      <c r="D23" s="655"/>
      <c r="E23" s="611">
        <f>E22*'ТИП-ПРОИЗ'!E32</f>
        <v>37483.878663000003</v>
      </c>
      <c r="F23" s="612">
        <f>F22*'ТИП-ПРОИЗ'!F32</f>
        <v>76798.17640109999</v>
      </c>
    </row>
    <row r="24" spans="1:7" ht="15.75">
      <c r="A24" s="592">
        <v>23</v>
      </c>
      <c r="B24" s="558" t="s">
        <v>548</v>
      </c>
      <c r="C24" s="656"/>
      <c r="D24" s="616"/>
      <c r="E24" s="87">
        <f>IF(SUM('ТИП-ПРОИЗ'!E32,'ТИП-ПРОИЗ'!E49)=0,0,E23/'ТИП-ПРОИЗ'!E69)</f>
        <v>0.39269999856484078</v>
      </c>
      <c r="F24" s="492">
        <f>IF(SUM('ТИП-ПРОИЗ'!F32,'ТИП-ПРОИЗ'!F49)=0,0,F23/'ТИП-ПРОИЗ'!F69)</f>
        <v>0.39269999995330152</v>
      </c>
    </row>
    <row r="25" spans="1:7" ht="12.75">
      <c r="A25" s="592">
        <v>24</v>
      </c>
      <c r="B25" s="73" t="s">
        <v>549</v>
      </c>
      <c r="C25" s="656"/>
      <c r="D25" s="656"/>
      <c r="E25" s="76">
        <f>'ТИП-ПРОИЗ'!E27*'ТИП-ПРОИЗ'!E42/1000</f>
        <v>4605.1594559700006</v>
      </c>
      <c r="F25" s="493">
        <f>'ТИП-ПРОИЗ'!F27*'ТИП-ПРОИЗ'!F42/1000</f>
        <v>9435.24352</v>
      </c>
      <c r="G25" s="85"/>
    </row>
    <row r="26" spans="1:7" ht="12.75">
      <c r="A26" s="592">
        <v>25</v>
      </c>
      <c r="B26" s="73" t="s">
        <v>550</v>
      </c>
      <c r="C26" s="656"/>
      <c r="D26" s="656"/>
      <c r="E26" s="83">
        <f>SUM('ТИП-ПРОИЗ'!E68,-E25)</f>
        <v>7121.7625011728578</v>
      </c>
      <c r="F26" s="494">
        <f>SUM('ТИП-ПРОИЗ'!F68,-F25)</f>
        <v>14591.251337142858</v>
      </c>
      <c r="G26" s="85"/>
    </row>
    <row r="27" spans="1:7" ht="14.25">
      <c r="A27" s="592">
        <v>26</v>
      </c>
      <c r="B27" s="657" t="s">
        <v>551</v>
      </c>
      <c r="C27" s="658" t="s">
        <v>552</v>
      </c>
      <c r="D27" s="616" t="s">
        <v>208</v>
      </c>
      <c r="E27" s="495">
        <f>IF(SUM('ТИП-ПРОИЗ'!E8,'ТИП-ПРОИЗ'!E27)=0,0,'ТИП-ПРОИЗ'!E27/SUM('ТИП-ПРОИЗ'!E8,'ТИП-ПРОИЗ'!E27))</f>
        <v>4.5886082941865171E-2</v>
      </c>
      <c r="F27" s="496">
        <f>IF(SUM('ТИП-ПРОИЗ'!F8,'ТИП-ПРОИЗ'!F27)=0,0,'ТИП-ПРОИЗ'!F27/SUM('ТИП-ПРОИЗ'!F8,'ТИП-ПРОИЗ'!F27))</f>
        <v>5.7780823245222421E-2</v>
      </c>
      <c r="G27" s="85"/>
    </row>
    <row r="28" spans="1:7" s="617" customFormat="1" ht="14.25" customHeight="1">
      <c r="A28" s="592">
        <v>27</v>
      </c>
      <c r="B28" s="614" t="s">
        <v>553</v>
      </c>
      <c r="C28" s="615" t="s">
        <v>554</v>
      </c>
      <c r="D28" s="616" t="s">
        <v>282</v>
      </c>
      <c r="E28" s="599">
        <v>46934</v>
      </c>
      <c r="F28" s="596">
        <v>107302</v>
      </c>
    </row>
    <row r="29" spans="1:7" s="617" customFormat="1" ht="14.25" customHeight="1">
      <c r="A29" s="592">
        <v>28</v>
      </c>
      <c r="B29" s="614" t="s">
        <v>555</v>
      </c>
      <c r="C29" s="615" t="s">
        <v>556</v>
      </c>
      <c r="D29" s="616" t="s">
        <v>520</v>
      </c>
      <c r="E29" s="599">
        <v>3248</v>
      </c>
      <c r="F29" s="596">
        <v>3248</v>
      </c>
    </row>
    <row r="30" spans="1:7" s="617" customFormat="1" ht="14.25" customHeight="1">
      <c r="A30" s="592">
        <v>29</v>
      </c>
      <c r="B30" s="614" t="s">
        <v>557</v>
      </c>
      <c r="C30" s="615" t="s">
        <v>554</v>
      </c>
      <c r="D30" s="616" t="s">
        <v>282</v>
      </c>
      <c r="E30" s="599">
        <v>46934</v>
      </c>
      <c r="F30" s="596">
        <v>107302</v>
      </c>
    </row>
    <row r="31" spans="1:7" s="617" customFormat="1" ht="14.25" customHeight="1">
      <c r="A31" s="592">
        <v>30</v>
      </c>
      <c r="B31" s="614" t="s">
        <v>558</v>
      </c>
      <c r="C31" s="615" t="s">
        <v>556</v>
      </c>
      <c r="D31" s="616" t="s">
        <v>520</v>
      </c>
      <c r="E31" s="599">
        <v>3248</v>
      </c>
      <c r="F31" s="596">
        <v>3248</v>
      </c>
    </row>
    <row r="32" spans="1:7" s="617" customFormat="1" ht="14.25" customHeight="1">
      <c r="A32" s="592">
        <v>31</v>
      </c>
      <c r="B32" s="618" t="s">
        <v>559</v>
      </c>
      <c r="C32" s="615" t="s">
        <v>560</v>
      </c>
      <c r="D32" s="616" t="s">
        <v>282</v>
      </c>
      <c r="E32" s="619">
        <f>SUM(E9,-E28)</f>
        <v>48352</v>
      </c>
      <c r="F32" s="598">
        <f>SUM(F9,-F28)</f>
        <v>74376</v>
      </c>
    </row>
    <row r="33" spans="1:6" s="617" customFormat="1" ht="14.25" customHeight="1">
      <c r="A33" s="592">
        <v>32</v>
      </c>
      <c r="B33" s="620" t="s">
        <v>561</v>
      </c>
      <c r="C33" s="615" t="s">
        <v>562</v>
      </c>
      <c r="D33" s="616" t="s">
        <v>520</v>
      </c>
      <c r="E33" s="599"/>
      <c r="F33" s="596"/>
    </row>
    <row r="34" spans="1:6" ht="12.75" customHeight="1">
      <c r="A34" s="592">
        <v>33</v>
      </c>
      <c r="B34" s="620" t="s">
        <v>563</v>
      </c>
      <c r="C34" s="594"/>
      <c r="D34" s="666" t="s">
        <v>238</v>
      </c>
      <c r="E34" s="619">
        <f>SUM(E35:E36)</f>
        <v>2287.5610000000001</v>
      </c>
      <c r="F34" s="598">
        <f>SUM(F35:F36)</f>
        <v>3177</v>
      </c>
    </row>
    <row r="35" spans="1:6" ht="12.75" customHeight="1">
      <c r="A35" s="592" t="s">
        <v>564</v>
      </c>
      <c r="B35" s="621" t="s">
        <v>565</v>
      </c>
      <c r="C35" s="594"/>
      <c r="D35" s="666" t="s">
        <v>238</v>
      </c>
      <c r="E35" s="599">
        <v>2287.5610000000001</v>
      </c>
      <c r="F35" s="596">
        <v>3177</v>
      </c>
    </row>
    <row r="36" spans="1:6" ht="12.75" customHeight="1">
      <c r="A36" s="592" t="s">
        <v>566</v>
      </c>
      <c r="B36" s="621" t="s">
        <v>567</v>
      </c>
      <c r="C36" s="594"/>
      <c r="D36" s="666" t="s">
        <v>238</v>
      </c>
      <c r="E36" s="599"/>
      <c r="F36" s="596"/>
    </row>
    <row r="37" spans="1:6" ht="14.25" customHeight="1">
      <c r="A37" s="592">
        <v>34</v>
      </c>
      <c r="B37" s="620" t="s">
        <v>568</v>
      </c>
      <c r="C37" s="594" t="s">
        <v>569</v>
      </c>
      <c r="D37" s="666" t="s">
        <v>282</v>
      </c>
      <c r="E37" s="599"/>
      <c r="F37" s="596"/>
    </row>
    <row r="38" spans="1:6" ht="14.25" customHeight="1">
      <c r="A38" s="592">
        <v>35</v>
      </c>
      <c r="B38" s="620" t="s">
        <v>570</v>
      </c>
      <c r="C38" s="594" t="s">
        <v>571</v>
      </c>
      <c r="D38" s="666" t="s">
        <v>520</v>
      </c>
      <c r="E38" s="599"/>
      <c r="F38" s="596"/>
    </row>
    <row r="39" spans="1:6" ht="14.25" customHeight="1">
      <c r="A39" s="592">
        <v>36</v>
      </c>
      <c r="B39" s="620" t="s">
        <v>572</v>
      </c>
      <c r="C39" s="594" t="s">
        <v>573</v>
      </c>
      <c r="D39" s="666"/>
      <c r="E39" s="622">
        <f>IF(E37=0,0,'ТИП-ПРОИЗ'!E47/Коефициенти!E37*3600)</f>
        <v>0</v>
      </c>
      <c r="F39" s="623">
        <f>IF(F37=0,0,'ТИП-ПРОИЗ'!F47/Коефициенти!F37*3600)</f>
        <v>0</v>
      </c>
    </row>
    <row r="40" spans="1:6" ht="14.25" customHeight="1">
      <c r="A40" s="592">
        <v>37</v>
      </c>
      <c r="B40" s="620" t="s">
        <v>574</v>
      </c>
      <c r="C40" s="594" t="s">
        <v>524</v>
      </c>
      <c r="D40" s="666" t="s">
        <v>575</v>
      </c>
      <c r="E40" s="622">
        <f>SUM(E38,-E39)/3600*860</f>
        <v>0</v>
      </c>
      <c r="F40" s="623">
        <f>SUM(F38,-F39)/3600*860</f>
        <v>0</v>
      </c>
    </row>
    <row r="41" spans="1:6" ht="14.25" customHeight="1">
      <c r="A41" s="592">
        <v>38</v>
      </c>
      <c r="B41" s="618" t="s">
        <v>576</v>
      </c>
      <c r="C41" s="600" t="s">
        <v>577</v>
      </c>
      <c r="D41" s="666" t="s">
        <v>282</v>
      </c>
      <c r="E41" s="599"/>
      <c r="F41" s="596"/>
    </row>
    <row r="42" spans="1:6" ht="14.25" customHeight="1">
      <c r="A42" s="592">
        <v>39</v>
      </c>
      <c r="B42" s="624" t="s">
        <v>578</v>
      </c>
      <c r="C42" s="594" t="s">
        <v>579</v>
      </c>
      <c r="D42" s="666" t="s">
        <v>520</v>
      </c>
      <c r="E42" s="599"/>
      <c r="F42" s="596"/>
    </row>
    <row r="43" spans="1:6" ht="14.25" customHeight="1">
      <c r="A43" s="592">
        <v>40</v>
      </c>
      <c r="B43" s="618" t="s">
        <v>580</v>
      </c>
      <c r="C43" s="600" t="s">
        <v>581</v>
      </c>
      <c r="D43" s="616" t="s">
        <v>282</v>
      </c>
      <c r="E43" s="595"/>
      <c r="F43" s="596"/>
    </row>
    <row r="44" spans="1:6" ht="14.25" customHeight="1">
      <c r="A44" s="592">
        <v>41</v>
      </c>
      <c r="B44" s="618" t="s">
        <v>582</v>
      </c>
      <c r="C44" s="600" t="s">
        <v>583</v>
      </c>
      <c r="D44" s="666" t="s">
        <v>520</v>
      </c>
      <c r="E44" s="595"/>
      <c r="F44" s="596"/>
    </row>
    <row r="45" spans="1:6" ht="14.25" customHeight="1">
      <c r="A45" s="592">
        <v>42</v>
      </c>
      <c r="B45" s="620" t="s">
        <v>584</v>
      </c>
      <c r="C45" s="594" t="s">
        <v>585</v>
      </c>
      <c r="D45" s="666" t="s">
        <v>586</v>
      </c>
      <c r="E45" s="595"/>
      <c r="F45" s="596"/>
    </row>
    <row r="46" spans="1:6" ht="14.25" customHeight="1">
      <c r="A46" s="592">
        <v>43</v>
      </c>
      <c r="B46" s="620" t="s">
        <v>587</v>
      </c>
      <c r="C46" s="594" t="s">
        <v>585</v>
      </c>
      <c r="D46" s="666" t="s">
        <v>586</v>
      </c>
      <c r="E46" s="595"/>
      <c r="F46" s="596"/>
    </row>
    <row r="47" spans="1:6" ht="14.25" customHeight="1">
      <c r="A47" s="592">
        <v>44</v>
      </c>
      <c r="B47" s="618" t="s">
        <v>588</v>
      </c>
      <c r="C47" s="594" t="s">
        <v>589</v>
      </c>
      <c r="D47" s="666" t="s">
        <v>238</v>
      </c>
      <c r="E47" s="595"/>
      <c r="F47" s="596"/>
    </row>
    <row r="48" spans="1:6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Разходи!$A$91</f>
        <v>Гл. счетоводител:</v>
      </c>
      <c r="B52" s="625"/>
      <c r="D52" s="626" t="str">
        <f>Разходи!$E$91</f>
        <v>Изп. директор:</v>
      </c>
      <c r="E52" s="627"/>
      <c r="F52" s="627"/>
      <c r="G52" s="628"/>
    </row>
    <row r="53" spans="1:7" ht="12.75">
      <c r="A53" s="1"/>
      <c r="B53" s="679" t="str">
        <f>Разходи!$B$93</f>
        <v>/ Росен Иванов /</v>
      </c>
      <c r="D53" s="628"/>
      <c r="E53" s="809" t="str">
        <f>Разходи!$F$93</f>
        <v>/ Анатолий Ботов/</v>
      </c>
      <c r="F53" s="809"/>
      <c r="G53" s="809"/>
    </row>
    <row r="54" spans="1:7" ht="14.25" customHeight="1">
      <c r="B54" s="617"/>
      <c r="C54" s="617"/>
      <c r="D54" s="617"/>
      <c r="E54" s="629"/>
      <c r="F54" s="629"/>
    </row>
    <row r="55" spans="1:7" ht="14.25" customHeight="1">
      <c r="B55" s="617"/>
      <c r="C55" s="617"/>
      <c r="D55" s="617"/>
      <c r="E55" s="630"/>
      <c r="F55" s="630"/>
    </row>
    <row r="56" spans="1:7" ht="14.25" customHeight="1">
      <c r="E56" s="631"/>
      <c r="F56" s="631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4"/>
      <c r="D62" s="19"/>
    </row>
    <row r="63" spans="1:7" ht="12.75">
      <c r="A63" s="74"/>
      <c r="D63" s="19"/>
    </row>
    <row r="64" spans="1:7" ht="12.75">
      <c r="A64" s="74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8">
    <mergeCell ref="B1:C1"/>
    <mergeCell ref="B3:C3"/>
    <mergeCell ref="B4:C4"/>
    <mergeCell ref="E53:G53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0"/>
  <sheetViews>
    <sheetView showZeros="0" topLeftCell="A27" zoomScaleNormal="100" workbookViewId="0">
      <selection activeCell="F64" sqref="F64"/>
    </sheetView>
  </sheetViews>
  <sheetFormatPr defaultColWidth="0" defaultRowHeight="12.75" zeroHeight="1"/>
  <cols>
    <col min="1" max="1" width="3.5703125" style="127" customWidth="1"/>
    <col min="2" max="2" width="27.5703125" style="127" customWidth="1"/>
    <col min="3" max="3" width="8.5703125" style="127" customWidth="1"/>
    <col min="4" max="4" width="9.5703125" style="127" customWidth="1"/>
    <col min="5" max="12" width="8.5703125" style="127" customWidth="1"/>
    <col min="13" max="18" width="0" style="127" hidden="1" customWidth="1"/>
    <col min="19" max="19" width="10.5703125" style="127" hidden="1" customWidth="1"/>
    <col min="20" max="16384" width="0" style="127" hidden="1"/>
  </cols>
  <sheetData>
    <row r="1" spans="1:12" ht="12.75" customHeight="1">
      <c r="A1" s="670">
        <v>1</v>
      </c>
      <c r="B1" s="816" t="s">
        <v>590</v>
      </c>
      <c r="C1" s="816"/>
      <c r="D1" s="816"/>
      <c r="E1" s="816"/>
      <c r="F1" s="816"/>
      <c r="G1" s="816"/>
      <c r="H1" s="816"/>
      <c r="I1" s="816"/>
      <c r="J1" s="500"/>
      <c r="K1" s="128" t="s">
        <v>591</v>
      </c>
    </row>
    <row r="2" spans="1:12" ht="12.75" customHeight="1">
      <c r="B2" s="816" t="str">
        <f>'ТИП-ПРОИЗ'!$B$3</f>
        <v>"ТЕЦ Горна Оряховица" ЕАД</v>
      </c>
      <c r="C2" s="816"/>
      <c r="D2" s="816"/>
      <c r="E2" s="816"/>
      <c r="F2" s="816"/>
      <c r="G2" s="816"/>
      <c r="H2" s="816"/>
      <c r="I2" s="816"/>
      <c r="J2" s="500"/>
      <c r="K2" s="500"/>
    </row>
    <row r="3" spans="1:12"/>
    <row r="4" spans="1:12">
      <c r="A4" s="144" t="s">
        <v>22</v>
      </c>
      <c r="B4" s="145" t="s">
        <v>592</v>
      </c>
      <c r="C4" s="144" t="s">
        <v>593</v>
      </c>
      <c r="D4" s="814">
        <f>IF(D6=0,0,(D6/D8-D7)*860/D6)</f>
        <v>0</v>
      </c>
      <c r="E4" s="814"/>
      <c r="F4" s="814"/>
      <c r="G4" s="814"/>
      <c r="H4" s="814"/>
      <c r="I4" s="814"/>
      <c r="J4" s="814"/>
      <c r="K4" s="814"/>
    </row>
    <row r="5" spans="1:12">
      <c r="A5" s="660">
        <v>1</v>
      </c>
      <c r="B5" s="660" t="s">
        <v>594</v>
      </c>
      <c r="C5" s="680"/>
      <c r="D5" s="680" t="s">
        <v>27</v>
      </c>
      <c r="E5" s="680" t="s">
        <v>595</v>
      </c>
      <c r="F5" s="680" t="s">
        <v>596</v>
      </c>
      <c r="G5" s="680" t="s">
        <v>597</v>
      </c>
      <c r="H5" s="680" t="s">
        <v>598</v>
      </c>
      <c r="I5" s="680" t="s">
        <v>599</v>
      </c>
      <c r="J5" s="680" t="s">
        <v>600</v>
      </c>
      <c r="K5" s="680" t="s">
        <v>601</v>
      </c>
    </row>
    <row r="6" spans="1:12">
      <c r="A6" s="680" t="s">
        <v>42</v>
      </c>
      <c r="B6" s="146" t="s">
        <v>602</v>
      </c>
      <c r="C6" s="680" t="s">
        <v>603</v>
      </c>
      <c r="D6" s="147">
        <f>SUM(E6:K6)</f>
        <v>0</v>
      </c>
      <c r="E6" s="60"/>
      <c r="F6" s="60"/>
      <c r="G6" s="60"/>
      <c r="H6" s="60"/>
      <c r="I6" s="60"/>
      <c r="J6" s="60"/>
      <c r="K6" s="60"/>
    </row>
    <row r="7" spans="1:12">
      <c r="A7" s="680" t="s">
        <v>44</v>
      </c>
      <c r="B7" s="146" t="s">
        <v>604</v>
      </c>
      <c r="C7" s="680" t="s">
        <v>605</v>
      </c>
      <c r="D7" s="147">
        <f>SUM(E7:K7)</f>
        <v>0</v>
      </c>
      <c r="E7" s="60"/>
      <c r="F7" s="60"/>
      <c r="G7" s="60"/>
      <c r="H7" s="60"/>
      <c r="I7" s="60"/>
      <c r="J7" s="60"/>
      <c r="K7" s="60"/>
    </row>
    <row r="8" spans="1:12">
      <c r="A8" s="680" t="s">
        <v>47</v>
      </c>
      <c r="B8" s="146" t="s">
        <v>543</v>
      </c>
      <c r="C8" s="680" t="s">
        <v>208</v>
      </c>
      <c r="D8" s="148">
        <f>IF(D6=0,0,SUMPRODUCT(E8:K8,E6:K6)/D6)</f>
        <v>0</v>
      </c>
      <c r="E8" s="61"/>
      <c r="F8" s="61"/>
      <c r="G8" s="61"/>
      <c r="H8" s="61"/>
      <c r="I8" s="61"/>
      <c r="J8" s="61"/>
      <c r="K8" s="61"/>
    </row>
    <row r="9" spans="1:12">
      <c r="A9" s="680" t="s">
        <v>606</v>
      </c>
      <c r="B9" s="146" t="s">
        <v>541</v>
      </c>
      <c r="C9" s="680" t="s">
        <v>208</v>
      </c>
      <c r="D9" s="148">
        <f>IF(D7=0,0,SUMPRODUCT(E9:K9,E7:K7)/D7)</f>
        <v>0</v>
      </c>
      <c r="E9" s="61"/>
      <c r="F9" s="61"/>
      <c r="G9" s="61"/>
      <c r="H9" s="61"/>
      <c r="I9" s="61"/>
      <c r="J9" s="61"/>
      <c r="K9" s="61"/>
    </row>
    <row r="10" spans="1:12">
      <c r="A10" s="680" t="s">
        <v>607</v>
      </c>
      <c r="B10" s="146" t="s">
        <v>539</v>
      </c>
      <c r="C10" s="680" t="s">
        <v>208</v>
      </c>
      <c r="D10" s="149">
        <f>SUM(D8:D9)</f>
        <v>0</v>
      </c>
      <c r="E10" s="149">
        <f t="shared" ref="E10:J10" si="0">SUM(E8:E9)</f>
        <v>0</v>
      </c>
      <c r="F10" s="149">
        <f t="shared" si="0"/>
        <v>0</v>
      </c>
      <c r="G10" s="149">
        <f t="shared" si="0"/>
        <v>0</v>
      </c>
      <c r="H10" s="149">
        <f t="shared" si="0"/>
        <v>0</v>
      </c>
      <c r="I10" s="149">
        <f t="shared" si="0"/>
        <v>0</v>
      </c>
      <c r="J10" s="149">
        <f t="shared" si="0"/>
        <v>0</v>
      </c>
      <c r="K10" s="149">
        <f>SUM(K8:K9)</f>
        <v>0</v>
      </c>
    </row>
    <row r="11" spans="1:12"/>
    <row r="12" spans="1:12">
      <c r="B12" s="815" t="s">
        <v>608</v>
      </c>
      <c r="C12" s="815"/>
      <c r="D12" s="815"/>
      <c r="E12" s="815"/>
      <c r="F12" s="815"/>
      <c r="G12" s="815"/>
      <c r="H12" s="815"/>
      <c r="I12" s="815"/>
      <c r="J12" s="815"/>
      <c r="K12" s="815"/>
    </row>
    <row r="13" spans="1:12"/>
    <row r="14" spans="1:12">
      <c r="A14" s="144" t="s">
        <v>22</v>
      </c>
      <c r="B14" s="660" t="s">
        <v>594</v>
      </c>
      <c r="C14" s="144" t="s">
        <v>593</v>
      </c>
      <c r="D14" s="821">
        <f>IF(D16=0,0,IF(D29=0,SUM(D16/D17,D26,D37/D39,-D22,-D42,-D43)*860/SUM(D16,D41),SUM(D16/D17,D26,-D30,-D31)*860/SUM(D16,D29)))</f>
        <v>0</v>
      </c>
      <c r="E14" s="822"/>
      <c r="F14" s="822"/>
      <c r="G14" s="822"/>
      <c r="H14" s="823"/>
      <c r="I14" s="818">
        <f>IF(I16=0,0,SUM(I16/I17,I26,-I19)*860/I16)</f>
        <v>0</v>
      </c>
      <c r="J14" s="819"/>
      <c r="K14" s="820"/>
    </row>
    <row r="15" spans="1:12">
      <c r="A15" s="660">
        <v>2</v>
      </c>
      <c r="B15" s="463" t="s">
        <v>609</v>
      </c>
      <c r="C15" s="680"/>
      <c r="D15" s="402" t="s">
        <v>27</v>
      </c>
      <c r="E15" s="680" t="s">
        <v>610</v>
      </c>
      <c r="F15" s="680"/>
      <c r="G15" s="680"/>
      <c r="H15" s="680"/>
      <c r="I15" s="464" t="s">
        <v>27</v>
      </c>
      <c r="J15" s="680" t="s">
        <v>610</v>
      </c>
      <c r="K15" s="680" t="s">
        <v>611</v>
      </c>
      <c r="L15" s="62"/>
    </row>
    <row r="16" spans="1:12">
      <c r="A16" s="680" t="s">
        <v>50</v>
      </c>
      <c r="B16" s="146" t="s">
        <v>612</v>
      </c>
      <c r="C16" s="680" t="s">
        <v>603</v>
      </c>
      <c r="D16" s="465">
        <f>SUM(E16:H16)</f>
        <v>0</v>
      </c>
      <c r="E16" s="466"/>
      <c r="F16" s="466"/>
      <c r="G16" s="466"/>
      <c r="H16" s="466"/>
      <c r="I16" s="465">
        <f>SUM(J16:K16)</f>
        <v>0</v>
      </c>
      <c r="J16" s="466"/>
      <c r="K16" s="466"/>
      <c r="L16" s="62"/>
    </row>
    <row r="17" spans="1:12">
      <c r="A17" s="680" t="s">
        <v>52</v>
      </c>
      <c r="B17" s="146" t="s">
        <v>613</v>
      </c>
      <c r="C17" s="680" t="s">
        <v>208</v>
      </c>
      <c r="D17" s="148">
        <f>IF(D16=0,0,SUMPRODUCT(E16:H16,E17:H17)/D16)</f>
        <v>0</v>
      </c>
      <c r="E17" s="61"/>
      <c r="F17" s="61"/>
      <c r="G17" s="61"/>
      <c r="H17" s="61"/>
      <c r="I17" s="148">
        <f>IF(I16=0,0,SUMPRODUCT(J16:K16,J17:K17)/I16)</f>
        <v>0</v>
      </c>
      <c r="J17" s="61"/>
      <c r="K17" s="61"/>
      <c r="L17" s="62"/>
    </row>
    <row r="18" spans="1:12">
      <c r="A18" s="660">
        <v>3</v>
      </c>
      <c r="B18" s="146" t="s">
        <v>614</v>
      </c>
      <c r="C18" s="680"/>
      <c r="D18" s="148"/>
      <c r="E18" s="467" t="s">
        <v>615</v>
      </c>
      <c r="F18" s="467"/>
      <c r="G18" s="467"/>
      <c r="H18" s="467"/>
      <c r="I18" s="148"/>
      <c r="J18" s="467" t="s">
        <v>615</v>
      </c>
      <c r="K18" s="467" t="s">
        <v>616</v>
      </c>
      <c r="L18" s="62"/>
    </row>
    <row r="19" spans="1:12">
      <c r="A19" s="680" t="s">
        <v>148</v>
      </c>
      <c r="B19" s="146" t="s">
        <v>617</v>
      </c>
      <c r="C19" s="680" t="s">
        <v>605</v>
      </c>
      <c r="D19" s="465">
        <f>SUM(E19:H19)</f>
        <v>0</v>
      </c>
      <c r="E19" s="468">
        <f>SUM(E20:E22)</f>
        <v>0</v>
      </c>
      <c r="F19" s="468">
        <f>SUM(F20:F22)</f>
        <v>0</v>
      </c>
      <c r="G19" s="468">
        <f>SUM(G20:G22)</f>
        <v>0</v>
      </c>
      <c r="H19" s="468">
        <f>SUM(H20:H22)</f>
        <v>0</v>
      </c>
      <c r="I19" s="465">
        <f>SUM(J19:K19)</f>
        <v>0</v>
      </c>
      <c r="J19" s="468">
        <f>SUM(J20:J22)</f>
        <v>0</v>
      </c>
      <c r="K19" s="468">
        <f>SUM(K20:K22)</f>
        <v>0</v>
      </c>
      <c r="L19" s="62"/>
    </row>
    <row r="20" spans="1:12">
      <c r="A20" s="680" t="s">
        <v>150</v>
      </c>
      <c r="B20" s="146" t="s">
        <v>618</v>
      </c>
      <c r="C20" s="680" t="s">
        <v>605</v>
      </c>
      <c r="D20" s="465">
        <f>SUM(E20:H20)</f>
        <v>0</v>
      </c>
      <c r="E20" s="466"/>
      <c r="F20" s="466"/>
      <c r="G20" s="466"/>
      <c r="H20" s="466"/>
      <c r="I20" s="465">
        <f>SUM(J20:K20)</f>
        <v>0</v>
      </c>
      <c r="J20" s="466"/>
      <c r="K20" s="466"/>
      <c r="L20" s="62"/>
    </row>
    <row r="21" spans="1:12">
      <c r="A21" s="680" t="s">
        <v>619</v>
      </c>
      <c r="B21" s="146" t="s">
        <v>620</v>
      </c>
      <c r="C21" s="680" t="s">
        <v>605</v>
      </c>
      <c r="D21" s="465">
        <f>SUM(E21:H21)</f>
        <v>0</v>
      </c>
      <c r="E21" s="466"/>
      <c r="F21" s="466"/>
      <c r="G21" s="466"/>
      <c r="H21" s="466"/>
      <c r="I21" s="465">
        <f>SUM(J21:K21)</f>
        <v>0</v>
      </c>
      <c r="J21" s="466"/>
      <c r="K21" s="466"/>
      <c r="L21" s="62"/>
    </row>
    <row r="22" spans="1:12">
      <c r="A22" s="680" t="s">
        <v>621</v>
      </c>
      <c r="B22" s="146" t="s">
        <v>622</v>
      </c>
      <c r="C22" s="680" t="s">
        <v>605</v>
      </c>
      <c r="D22" s="465">
        <f>SUM(E22:H22)</f>
        <v>0</v>
      </c>
      <c r="E22" s="466"/>
      <c r="F22" s="466"/>
      <c r="G22" s="466"/>
      <c r="H22" s="466"/>
      <c r="I22" s="465">
        <f>SUM(J22:K22)</f>
        <v>0</v>
      </c>
      <c r="J22" s="466"/>
      <c r="K22" s="466"/>
      <c r="L22" s="62"/>
    </row>
    <row r="23" spans="1:12">
      <c r="A23" s="680" t="s">
        <v>623</v>
      </c>
      <c r="B23" s="146" t="s">
        <v>624</v>
      </c>
      <c r="C23" s="680" t="s">
        <v>208</v>
      </c>
      <c r="D23" s="148">
        <f t="shared" ref="D23:K23" si="1">IF(D17=0,0,IF((D16/D17)=0,0,SUM(D21:D22)/(D16/D17)))</f>
        <v>0</v>
      </c>
      <c r="E23" s="148">
        <f t="shared" si="1"/>
        <v>0</v>
      </c>
      <c r="F23" s="148">
        <f t="shared" si="1"/>
        <v>0</v>
      </c>
      <c r="G23" s="148">
        <f t="shared" si="1"/>
        <v>0</v>
      </c>
      <c r="H23" s="148">
        <f t="shared" si="1"/>
        <v>0</v>
      </c>
      <c r="I23" s="148">
        <f t="shared" si="1"/>
        <v>0</v>
      </c>
      <c r="J23" s="148">
        <f t="shared" si="1"/>
        <v>0</v>
      </c>
      <c r="K23" s="148">
        <f t="shared" si="1"/>
        <v>0</v>
      </c>
      <c r="L23" s="62"/>
    </row>
    <row r="24" spans="1:12">
      <c r="A24" s="680" t="s">
        <v>625</v>
      </c>
      <c r="B24" s="146" t="s">
        <v>626</v>
      </c>
      <c r="C24" s="680" t="s">
        <v>627</v>
      </c>
      <c r="D24" s="465">
        <f>SUM(E24:H24)</f>
        <v>0</v>
      </c>
      <c r="E24" s="469"/>
      <c r="F24" s="469"/>
      <c r="G24" s="469"/>
      <c r="H24" s="469"/>
      <c r="I24" s="465">
        <f>SUM(J24:K24)</f>
        <v>0</v>
      </c>
      <c r="J24" s="469"/>
      <c r="K24" s="469"/>
      <c r="L24" s="62"/>
    </row>
    <row r="25" spans="1:12">
      <c r="A25" s="680" t="s">
        <v>628</v>
      </c>
      <c r="B25" s="146" t="s">
        <v>629</v>
      </c>
      <c r="C25" s="680" t="s">
        <v>627</v>
      </c>
      <c r="D25" s="465">
        <f>SUM(E25:H25)</f>
        <v>0</v>
      </c>
      <c r="E25" s="469"/>
      <c r="F25" s="469"/>
      <c r="G25" s="469"/>
      <c r="H25" s="469"/>
      <c r="I25" s="465">
        <f>SUM(J25:K25)</f>
        <v>0</v>
      </c>
      <c r="J25" s="469"/>
      <c r="K25" s="469"/>
      <c r="L25" s="62"/>
    </row>
    <row r="26" spans="1:12">
      <c r="A26" s="680" t="s">
        <v>630</v>
      </c>
      <c r="B26" s="146" t="s">
        <v>631</v>
      </c>
      <c r="C26" s="461" t="s">
        <v>415</v>
      </c>
      <c r="D26" s="465">
        <f>SUM(E26:H26)</f>
        <v>0</v>
      </c>
      <c r="E26" s="469"/>
      <c r="F26" s="469"/>
      <c r="G26" s="469"/>
      <c r="H26" s="469"/>
      <c r="I26" s="465"/>
      <c r="J26" s="469"/>
      <c r="K26" s="469"/>
      <c r="L26" s="62"/>
    </row>
    <row r="27" spans="1:12">
      <c r="A27" s="680" t="s">
        <v>632</v>
      </c>
      <c r="B27" s="146" t="s">
        <v>633</v>
      </c>
      <c r="C27" s="461" t="s">
        <v>208</v>
      </c>
      <c r="D27" s="470">
        <f t="shared" ref="D27:K27" si="2">IF(D16=0,0,IF((1-D17)=0,0,IF(D17=0,0,D19/(D16*(1-D17)/D17+D26))))</f>
        <v>0</v>
      </c>
      <c r="E27" s="470">
        <f t="shared" si="2"/>
        <v>0</v>
      </c>
      <c r="F27" s="470">
        <f t="shared" si="2"/>
        <v>0</v>
      </c>
      <c r="G27" s="470">
        <f t="shared" si="2"/>
        <v>0</v>
      </c>
      <c r="H27" s="470">
        <f t="shared" si="2"/>
        <v>0</v>
      </c>
      <c r="I27" s="470">
        <f t="shared" si="2"/>
        <v>0</v>
      </c>
      <c r="J27" s="470">
        <f t="shared" si="2"/>
        <v>0</v>
      </c>
      <c r="K27" s="470">
        <f t="shared" si="2"/>
        <v>0</v>
      </c>
      <c r="L27" s="62"/>
    </row>
    <row r="28" spans="1:12">
      <c r="A28" s="680">
        <v>4</v>
      </c>
      <c r="B28" s="146" t="s">
        <v>634</v>
      </c>
      <c r="C28" s="461"/>
      <c r="D28" s="148"/>
      <c r="E28" s="680" t="s">
        <v>635</v>
      </c>
      <c r="F28" s="680"/>
      <c r="G28" s="680"/>
      <c r="H28" s="680"/>
      <c r="I28" s="824"/>
      <c r="J28" s="827"/>
      <c r="K28" s="827"/>
      <c r="L28" s="62"/>
    </row>
    <row r="29" spans="1:12">
      <c r="A29" s="680" t="s">
        <v>57</v>
      </c>
      <c r="B29" s="146" t="s">
        <v>636</v>
      </c>
      <c r="C29" s="461" t="s">
        <v>603</v>
      </c>
      <c r="D29" s="465">
        <f>SUM(E29:H29)</f>
        <v>0</v>
      </c>
      <c r="E29" s="466"/>
      <c r="F29" s="466"/>
      <c r="G29" s="466"/>
      <c r="H29" s="466"/>
      <c r="I29" s="825"/>
      <c r="J29" s="828"/>
      <c r="K29" s="828"/>
      <c r="L29" s="62"/>
    </row>
    <row r="30" spans="1:12">
      <c r="A30" s="680" t="s">
        <v>59</v>
      </c>
      <c r="B30" s="146" t="s">
        <v>637</v>
      </c>
      <c r="C30" s="461" t="s">
        <v>605</v>
      </c>
      <c r="D30" s="465">
        <f>SUM(E30:H30)</f>
        <v>0</v>
      </c>
      <c r="E30" s="469"/>
      <c r="F30" s="469"/>
      <c r="G30" s="469"/>
      <c r="H30" s="469"/>
      <c r="I30" s="825"/>
      <c r="J30" s="828"/>
      <c r="K30" s="828"/>
      <c r="L30" s="62"/>
    </row>
    <row r="31" spans="1:12">
      <c r="A31" s="680" t="s">
        <v>638</v>
      </c>
      <c r="B31" s="146" t="s">
        <v>639</v>
      </c>
      <c r="C31" s="461" t="s">
        <v>605</v>
      </c>
      <c r="D31" s="465">
        <f>SUM(E31:H31)</f>
        <v>0</v>
      </c>
      <c r="E31" s="469"/>
      <c r="F31" s="469"/>
      <c r="G31" s="469"/>
      <c r="H31" s="469"/>
      <c r="I31" s="825"/>
      <c r="J31" s="828"/>
      <c r="K31" s="828"/>
      <c r="L31" s="62"/>
    </row>
    <row r="32" spans="1:12">
      <c r="A32" s="680" t="s">
        <v>640</v>
      </c>
      <c r="B32" s="471" t="s">
        <v>641</v>
      </c>
      <c r="C32" s="680" t="s">
        <v>627</v>
      </c>
      <c r="D32" s="465">
        <f>SUM(E32:H32)</f>
        <v>0</v>
      </c>
      <c r="E32" s="469"/>
      <c r="F32" s="469"/>
      <c r="G32" s="469"/>
      <c r="H32" s="469"/>
      <c r="I32" s="825"/>
      <c r="J32" s="828"/>
      <c r="K32" s="828"/>
      <c r="L32" s="62"/>
    </row>
    <row r="33" spans="1:12">
      <c r="A33" s="680" t="s">
        <v>642</v>
      </c>
      <c r="B33" s="471" t="s">
        <v>643</v>
      </c>
      <c r="C33" s="680" t="s">
        <v>627</v>
      </c>
      <c r="D33" s="465">
        <f>SUM(E33:H33)</f>
        <v>0</v>
      </c>
      <c r="E33" s="469"/>
      <c r="F33" s="469"/>
      <c r="G33" s="469"/>
      <c r="H33" s="469"/>
      <c r="I33" s="826"/>
      <c r="J33" s="829"/>
      <c r="K33" s="829"/>
      <c r="L33" s="62"/>
    </row>
    <row r="34" spans="1:12" ht="14.25">
      <c r="A34" s="680" t="s">
        <v>644</v>
      </c>
      <c r="B34" s="462" t="s">
        <v>645</v>
      </c>
      <c r="C34" s="680" t="s">
        <v>646</v>
      </c>
      <c r="D34" s="107">
        <f>IF(D29=0,0,IF(D17=0,0,IF(SUM(D16,D29)=0,0,SUM(D16/D17,D26,-D22,-D30,-D31)/SUM(D16,D29)*1000)))</f>
        <v>0</v>
      </c>
      <c r="E34" s="107">
        <f>IF(E29=0,0,IF(E17=0,0,IF(SUM(E16,E29)=0,0,SUM(E16/E17,E26,-E22,-E30,-E31)/SUM(E16,E29)*1000)))</f>
        <v>0</v>
      </c>
      <c r="F34" s="107">
        <f>IF(F29=0,0,IF(F17=0,0,IF(SUM(F16,F29)=0,0,SUM(F16/F17,F26,-F22,-F30,-F31)/SUM(F16,F29)*1000)))</f>
        <v>0</v>
      </c>
      <c r="G34" s="107">
        <f>IF(G29=0,0,IF(G17=0,0,IF(SUM(G16,G29)=0,0,SUM(G16/G17,G26,-G22,-G30,-G31)/SUM(G16,G29)*1000)))</f>
        <v>0</v>
      </c>
      <c r="H34" s="107">
        <f>IF(H29=0,0,IF(H17=0,0,IF(SUM(H16,H29)=0,0,SUM(H16/H17,H26,-H22,-H30,-H31)/SUM(H16,H29)*1000)))</f>
        <v>0</v>
      </c>
      <c r="I34" s="107">
        <f>IF(I17=0,0,IF(I16=0,0,SUM(I16/I17,I26,-I20,-I21,-I22)*860/I16))</f>
        <v>0</v>
      </c>
      <c r="J34" s="107">
        <f>IF(J17=0,0,IF(J16=0,0,SUM(J16/J17,J26,-J20,-J21,-J22)*860/J16))</f>
        <v>0</v>
      </c>
      <c r="K34" s="107">
        <f>IF(K17=0,0,IF(K16=0,0,SUM(K16/K17,K26,-K20,-K21,-K22)*860/K16))</f>
        <v>0</v>
      </c>
      <c r="L34" s="62"/>
    </row>
    <row r="35" spans="1:12">
      <c r="A35" s="660">
        <v>5</v>
      </c>
      <c r="B35" s="146" t="s">
        <v>539</v>
      </c>
      <c r="C35" s="680" t="s">
        <v>208</v>
      </c>
      <c r="D35" s="149">
        <f>IF(D17=0,0,IF(D29=0,0,IF(SUM(D16/D17,D26)=0,0,SUM(D16,D29,D22,D30:D31)/SUM(D16/D17,D26))))</f>
        <v>0</v>
      </c>
      <c r="E35" s="149">
        <f>IF(E17=0,0,IF(E29=0,0,IF(SUM(E16/E17,E26)=0,0,SUM(E16,E29,E22,E30:E31)/SUM(E16/E17,E26))))</f>
        <v>0</v>
      </c>
      <c r="F35" s="149">
        <f>IF(F17=0,0,IF(F29=0,0,IF(SUM(F16/F17,F26)=0,0,SUM(F16,F29,F22,F30:F31)/SUM(F16/F17,F26))))</f>
        <v>0</v>
      </c>
      <c r="G35" s="149">
        <f>IF(G17=0,0,IF(G29=0,0,IF(SUM(G16/G17,G26)=0,0,SUM(G16,G29,G22,G30:G31)/SUM(G16/G17,G26))))</f>
        <v>0</v>
      </c>
      <c r="H35" s="149">
        <f>IF(H17=0,0,IF(H29=0,0,IF(SUM(H16/H17,H26)=0,0,SUM(H16,H29,H22,H30:H31)/SUM(H16/H17,H26))))</f>
        <v>0</v>
      </c>
      <c r="I35" s="150">
        <f>SUM(I17,I23)</f>
        <v>0</v>
      </c>
      <c r="J35" s="149">
        <f>SUM(J17,J23)</f>
        <v>0</v>
      </c>
      <c r="K35" s="149">
        <f>SUM(K17,K23)</f>
        <v>0</v>
      </c>
      <c r="L35" s="62"/>
    </row>
    <row r="36" spans="1:12">
      <c r="A36" s="680">
        <v>6</v>
      </c>
      <c r="B36" s="146" t="s">
        <v>647</v>
      </c>
      <c r="C36" s="461"/>
      <c r="D36" s="465"/>
      <c r="E36" s="472" t="s">
        <v>648</v>
      </c>
      <c r="F36" s="472" t="s">
        <v>649</v>
      </c>
      <c r="G36" s="472" t="s">
        <v>650</v>
      </c>
      <c r="H36" s="472" t="s">
        <v>651</v>
      </c>
      <c r="L36" s="62"/>
    </row>
    <row r="37" spans="1:12">
      <c r="A37" s="680" t="s">
        <v>257</v>
      </c>
      <c r="B37" s="146" t="s">
        <v>652</v>
      </c>
      <c r="C37" s="461" t="s">
        <v>605</v>
      </c>
      <c r="D37" s="465">
        <f>SUM(E37:H37)</f>
        <v>0</v>
      </c>
      <c r="E37" s="469"/>
      <c r="F37" s="469"/>
      <c r="G37" s="469"/>
      <c r="H37" s="469"/>
      <c r="L37" s="62"/>
    </row>
    <row r="38" spans="1:12">
      <c r="A38" s="680" t="s">
        <v>259</v>
      </c>
      <c r="B38" s="146" t="s">
        <v>653</v>
      </c>
      <c r="C38" s="461" t="s">
        <v>627</v>
      </c>
      <c r="D38" s="465">
        <f>SUM(E38:H38)</f>
        <v>0</v>
      </c>
      <c r="E38" s="469"/>
      <c r="F38" s="469"/>
      <c r="G38" s="469"/>
      <c r="H38" s="469"/>
      <c r="L38" s="62"/>
    </row>
    <row r="39" spans="1:12">
      <c r="A39" s="680" t="s">
        <v>654</v>
      </c>
      <c r="B39" s="473" t="s">
        <v>655</v>
      </c>
      <c r="C39" s="461" t="s">
        <v>208</v>
      </c>
      <c r="D39" s="148">
        <f>IF(D37=0,0,SUMPRODUCT(E37:H37,E39:H39)/D37)</f>
        <v>0</v>
      </c>
      <c r="E39" s="61"/>
      <c r="F39" s="61"/>
      <c r="G39" s="61"/>
      <c r="H39" s="61"/>
      <c r="L39" s="62"/>
    </row>
    <row r="40" spans="1:12">
      <c r="A40" s="680">
        <v>7</v>
      </c>
      <c r="B40" s="146" t="s">
        <v>656</v>
      </c>
      <c r="C40" s="461"/>
      <c r="D40" s="148"/>
      <c r="E40" s="680" t="s">
        <v>657</v>
      </c>
      <c r="F40" s="680" t="s">
        <v>658</v>
      </c>
      <c r="G40" s="680" t="s">
        <v>659</v>
      </c>
      <c r="H40" s="680" t="s">
        <v>660</v>
      </c>
      <c r="L40" s="62"/>
    </row>
    <row r="41" spans="1:12">
      <c r="A41" s="680" t="s">
        <v>263</v>
      </c>
      <c r="B41" s="473" t="s">
        <v>661</v>
      </c>
      <c r="C41" s="461" t="s">
        <v>603</v>
      </c>
      <c r="D41" s="465">
        <f>SUM(E41:H41)</f>
        <v>0</v>
      </c>
      <c r="E41" s="466"/>
      <c r="F41" s="466"/>
      <c r="G41" s="466"/>
      <c r="H41" s="466"/>
      <c r="L41" s="62"/>
    </row>
    <row r="42" spans="1:12">
      <c r="A42" s="680" t="s">
        <v>266</v>
      </c>
      <c r="B42" s="146" t="s">
        <v>637</v>
      </c>
      <c r="C42" s="461" t="s">
        <v>605</v>
      </c>
      <c r="D42" s="465">
        <f>SUM(E42:H42)</f>
        <v>0</v>
      </c>
      <c r="E42" s="469"/>
      <c r="F42" s="469"/>
      <c r="G42" s="469"/>
      <c r="H42" s="469"/>
      <c r="L42" s="62"/>
    </row>
    <row r="43" spans="1:12">
      <c r="A43" s="680" t="s">
        <v>269</v>
      </c>
      <c r="B43" s="146" t="s">
        <v>639</v>
      </c>
      <c r="C43" s="461" t="s">
        <v>605</v>
      </c>
      <c r="D43" s="465">
        <f>SUM(E43:H43)</f>
        <v>0</v>
      </c>
      <c r="E43" s="469"/>
      <c r="F43" s="469"/>
      <c r="G43" s="469"/>
      <c r="H43" s="469"/>
      <c r="L43" s="62"/>
    </row>
    <row r="44" spans="1:12">
      <c r="A44" s="680" t="s">
        <v>662</v>
      </c>
      <c r="B44" s="471" t="s">
        <v>641</v>
      </c>
      <c r="C44" s="680" t="s">
        <v>627</v>
      </c>
      <c r="D44" s="465">
        <f>SUM(E44:H44)</f>
        <v>0</v>
      </c>
      <c r="E44" s="469"/>
      <c r="F44" s="469"/>
      <c r="G44" s="469"/>
      <c r="H44" s="469"/>
      <c r="L44" s="62"/>
    </row>
    <row r="45" spans="1:12">
      <c r="A45" s="680" t="s">
        <v>663</v>
      </c>
      <c r="B45" s="471" t="s">
        <v>643</v>
      </c>
      <c r="C45" s="680" t="s">
        <v>627</v>
      </c>
      <c r="D45" s="465">
        <f>SUM(E45:H45)</f>
        <v>0</v>
      </c>
      <c r="E45" s="469"/>
      <c r="F45" s="469"/>
      <c r="G45" s="469"/>
      <c r="H45" s="469"/>
      <c r="L45" s="62"/>
    </row>
    <row r="46" spans="1:12" ht="14.25">
      <c r="A46" s="680" t="s">
        <v>664</v>
      </c>
      <c r="B46" s="462" t="s">
        <v>645</v>
      </c>
      <c r="C46" s="680" t="s">
        <v>646</v>
      </c>
      <c r="D46" s="107">
        <f>IF(D41=0,0,IF($D$17=0,0,IF(D39=0,0,SUM($D$16/$D$17,D26,-$D$22,D37/D39,-D42,-D43)*860/SUM($D$16,D41))))</f>
        <v>0</v>
      </c>
      <c r="E46" s="107">
        <f>IF(E41=0,0,IF($E$17=0,0,IF(COUNT($E$37:$H$37)=0,0,IF(E39=0,0,SUM(($E$16/$E$17-$E$22)/COUNT($E$37:$H$37),E37/E39,-E42,-E43)*860/SUM($E$16,E41)))))</f>
        <v>0</v>
      </c>
      <c r="F46" s="107">
        <f>IF(F41=0,0,IF($E$17=0,0,IF(COUNT($E$37:$H$37)=0,0,IF(F39=0,0,SUM(($E$16/$E$17-$E$22)/COUNT($E$37:$H$37),F37/F39,-F42,-F43)*860/SUM($E$16,F41)))))</f>
        <v>0</v>
      </c>
      <c r="G46" s="107">
        <f>IF(G41=0,0,IF($E$17=0,0,IF(COUNT($E$37:$H$37)=0,0,IF(G39=0,0,SUM(($E$16/$E$17-$E$22)/COUNT($E$37:$H$37),G37/G39,-G42,-G43)*860/SUM($E$16,G41)))))</f>
        <v>0</v>
      </c>
      <c r="H46" s="107">
        <f>IF(H41=0,0,IF($E$17=0,0,IF(COUNT($E$37:$H$37)=0,0,IF(H39=0,0,SUM(($E$16/$E$17-$E$22)/COUNT($E$37:$H$37),H37/H39,-H42,-H43)*860/SUM($E$16,H41)))))</f>
        <v>0</v>
      </c>
      <c r="L46" s="62"/>
    </row>
    <row r="47" spans="1:12">
      <c r="A47" s="680">
        <v>8</v>
      </c>
      <c r="B47" s="146" t="s">
        <v>539</v>
      </c>
      <c r="C47" s="680" t="s">
        <v>208</v>
      </c>
      <c r="D47" s="149">
        <f>IF(D37=0,0,IF(D39=0,0,SUM(D41:D43)/(D37/D39)))</f>
        <v>0</v>
      </c>
      <c r="E47" s="149">
        <f>IF(E37=0,0,IF(E39=0,0,SUM(E41:E43)/(E37/E39)))</f>
        <v>0</v>
      </c>
      <c r="F47" s="149">
        <f>IF(F37=0,0,IF(F39=0,0,SUM(F41:F43)/(F37/F39)))</f>
        <v>0</v>
      </c>
      <c r="G47" s="149">
        <f>IF(G37=0,0,IF(G39=0,0,SUM(G41:G43)/(G37/G39)))</f>
        <v>0</v>
      </c>
      <c r="H47" s="149">
        <f>IF(H37=0,0,IF(H39=0,0,SUM(H41:H43)/(H37/H39)))</f>
        <v>0</v>
      </c>
      <c r="L47" s="62"/>
    </row>
    <row r="48" spans="1:12"/>
    <row r="49" spans="1:12">
      <c r="B49" s="748" t="s">
        <v>665</v>
      </c>
      <c r="C49" s="748"/>
      <c r="D49" s="748"/>
      <c r="E49" s="748"/>
      <c r="F49" s="748"/>
      <c r="G49" s="748"/>
      <c r="H49" s="748"/>
      <c r="I49" s="748"/>
      <c r="J49" s="748"/>
      <c r="K49" s="748"/>
    </row>
    <row r="50" spans="1:12"/>
    <row r="51" spans="1:12">
      <c r="A51" s="144" t="s">
        <v>22</v>
      </c>
      <c r="B51" s="660" t="s">
        <v>594</v>
      </c>
      <c r="C51" s="474"/>
      <c r="D51" s="817" t="s">
        <v>666</v>
      </c>
      <c r="E51" s="817"/>
      <c r="F51" s="817"/>
      <c r="G51" s="817"/>
      <c r="H51" s="817"/>
      <c r="I51" s="817"/>
      <c r="J51" s="817"/>
      <c r="K51" s="817"/>
    </row>
    <row r="52" spans="1:12">
      <c r="A52" s="680">
        <v>3</v>
      </c>
      <c r="B52" s="475" t="s">
        <v>667</v>
      </c>
      <c r="C52" s="680" t="s">
        <v>668</v>
      </c>
      <c r="D52" s="402" t="s">
        <v>27</v>
      </c>
      <c r="E52" s="680" t="s">
        <v>669</v>
      </c>
      <c r="F52" s="680" t="s">
        <v>670</v>
      </c>
      <c r="G52" s="680" t="s">
        <v>671</v>
      </c>
      <c r="H52" s="680" t="s">
        <v>672</v>
      </c>
      <c r="I52" s="680" t="s">
        <v>673</v>
      </c>
      <c r="J52" s="680" t="s">
        <v>674</v>
      </c>
      <c r="K52" s="680" t="s">
        <v>675</v>
      </c>
    </row>
    <row r="53" spans="1:12">
      <c r="A53" s="680" t="s">
        <v>148</v>
      </c>
      <c r="B53" s="462" t="s">
        <v>676</v>
      </c>
      <c r="C53" s="680"/>
      <c r="D53" s="114"/>
      <c r="E53" s="476" t="s">
        <v>776</v>
      </c>
      <c r="F53" s="476"/>
      <c r="G53" s="476" t="s">
        <v>777</v>
      </c>
      <c r="H53" s="476"/>
      <c r="I53" s="476"/>
      <c r="J53" s="476"/>
      <c r="K53" s="476"/>
    </row>
    <row r="54" spans="1:12">
      <c r="A54" s="680" t="s">
        <v>150</v>
      </c>
      <c r="B54" s="462" t="s">
        <v>677</v>
      </c>
      <c r="C54" s="680" t="s">
        <v>627</v>
      </c>
      <c r="D54" s="337">
        <f>SUM(E54:K54)</f>
        <v>110</v>
      </c>
      <c r="E54" s="9">
        <v>75</v>
      </c>
      <c r="F54" s="9"/>
      <c r="G54" s="9">
        <v>35</v>
      </c>
      <c r="H54" s="9"/>
      <c r="I54" s="9"/>
      <c r="J54" s="9"/>
      <c r="K54" s="9"/>
    </row>
    <row r="55" spans="1:12">
      <c r="A55" s="680" t="s">
        <v>619</v>
      </c>
      <c r="B55" s="462" t="s">
        <v>678</v>
      </c>
      <c r="C55" s="680" t="s">
        <v>520</v>
      </c>
      <c r="D55" s="114"/>
      <c r="E55" s="9">
        <v>3311</v>
      </c>
      <c r="F55" s="9"/>
      <c r="G55" s="9">
        <v>3311</v>
      </c>
      <c r="H55" s="9"/>
      <c r="I55" s="9"/>
      <c r="J55" s="9"/>
      <c r="K55" s="9"/>
    </row>
    <row r="56" spans="1:12">
      <c r="A56" s="680" t="s">
        <v>621</v>
      </c>
      <c r="B56" s="462" t="s">
        <v>679</v>
      </c>
      <c r="C56" s="680" t="s">
        <v>520</v>
      </c>
      <c r="D56" s="114"/>
      <c r="E56" s="9">
        <v>587</v>
      </c>
      <c r="F56" s="9"/>
      <c r="G56" s="9">
        <v>587</v>
      </c>
      <c r="H56" s="9"/>
      <c r="I56" s="9"/>
      <c r="J56" s="9"/>
      <c r="K56" s="9"/>
    </row>
    <row r="57" spans="1:12">
      <c r="A57" s="680" t="s">
        <v>623</v>
      </c>
      <c r="B57" s="462" t="s">
        <v>604</v>
      </c>
      <c r="C57" s="680" t="s">
        <v>415</v>
      </c>
      <c r="D57" s="337">
        <f>SUM(E57:K57)</f>
        <v>83.233000000000004</v>
      </c>
      <c r="E57" s="402">
        <f t="shared" ref="E57:J57" si="3">ROUND(E54*(E55-E56)/3600,3)</f>
        <v>56.75</v>
      </c>
      <c r="F57" s="402">
        <f t="shared" si="3"/>
        <v>0</v>
      </c>
      <c r="G57" s="402">
        <f t="shared" si="3"/>
        <v>26.483000000000001</v>
      </c>
      <c r="H57" s="402">
        <f t="shared" si="3"/>
        <v>0</v>
      </c>
      <c r="I57" s="402">
        <f t="shared" si="3"/>
        <v>0</v>
      </c>
      <c r="J57" s="402">
        <f t="shared" si="3"/>
        <v>0</v>
      </c>
      <c r="K57" s="402">
        <f>ROUND(K54*(K55-K56)/3600,3)</f>
        <v>0</v>
      </c>
    </row>
    <row r="58" spans="1:12">
      <c r="A58" s="680" t="s">
        <v>625</v>
      </c>
      <c r="B58" s="463" t="s">
        <v>680</v>
      </c>
      <c r="C58" s="680" t="s">
        <v>605</v>
      </c>
      <c r="D58" s="337">
        <f>SUM(E58:K58)</f>
        <v>0</v>
      </c>
      <c r="E58" s="60"/>
      <c r="F58" s="60"/>
      <c r="G58" s="60"/>
      <c r="H58" s="60"/>
      <c r="I58" s="60"/>
      <c r="J58" s="60"/>
      <c r="K58" s="60"/>
    </row>
    <row r="59" spans="1:12">
      <c r="A59" s="680" t="s">
        <v>628</v>
      </c>
      <c r="B59" s="146" t="s">
        <v>681</v>
      </c>
      <c r="C59" s="680" t="s">
        <v>208</v>
      </c>
      <c r="D59" s="148">
        <f>IF(D58=0,0,SUMPRODUCT(E59:K59,E58:K58)/D58)</f>
        <v>0</v>
      </c>
      <c r="E59" s="61"/>
      <c r="F59" s="61"/>
      <c r="G59" s="61"/>
      <c r="H59" s="61"/>
      <c r="I59" s="61"/>
      <c r="J59" s="61"/>
      <c r="K59" s="61"/>
    </row>
    <row r="60" spans="1:12">
      <c r="A60" s="680">
        <v>4</v>
      </c>
      <c r="B60" s="475" t="s">
        <v>682</v>
      </c>
      <c r="C60" s="680"/>
      <c r="D60" s="114"/>
      <c r="E60" s="680" t="s">
        <v>657</v>
      </c>
      <c r="F60" s="680" t="s">
        <v>658</v>
      </c>
      <c r="G60" s="680" t="s">
        <v>659</v>
      </c>
      <c r="H60" s="680" t="s">
        <v>660</v>
      </c>
      <c r="I60" s="680" t="s">
        <v>683</v>
      </c>
      <c r="J60" s="680" t="s">
        <v>684</v>
      </c>
      <c r="K60" s="680" t="s">
        <v>685</v>
      </c>
    </row>
    <row r="61" spans="1:12">
      <c r="A61" s="680" t="s">
        <v>57</v>
      </c>
      <c r="B61" s="462" t="s">
        <v>676</v>
      </c>
      <c r="C61" s="106"/>
      <c r="D61" s="114"/>
      <c r="E61" s="477" t="s">
        <v>778</v>
      </c>
      <c r="F61" s="478"/>
      <c r="G61" s="478"/>
      <c r="H61" s="478"/>
      <c r="I61" s="478"/>
      <c r="J61" s="478"/>
      <c r="K61" s="478"/>
    </row>
    <row r="62" spans="1:12">
      <c r="A62" s="680" t="s">
        <v>59</v>
      </c>
      <c r="B62" s="473" t="s">
        <v>661</v>
      </c>
      <c r="C62" s="461" t="s">
        <v>603</v>
      </c>
      <c r="D62" s="465">
        <f>SUM(E62:G62)</f>
        <v>6</v>
      </c>
      <c r="E62" s="466">
        <v>6</v>
      </c>
      <c r="F62" s="466"/>
      <c r="G62" s="466"/>
      <c r="H62" s="466"/>
      <c r="I62" s="466"/>
      <c r="J62" s="466"/>
      <c r="K62" s="466"/>
      <c r="L62" s="62"/>
    </row>
    <row r="63" spans="1:12">
      <c r="A63" s="680" t="s">
        <v>638</v>
      </c>
      <c r="B63" s="146" t="s">
        <v>637</v>
      </c>
      <c r="C63" s="461" t="s">
        <v>605</v>
      </c>
      <c r="D63" s="465">
        <f>SUM(E63:G63)</f>
        <v>0</v>
      </c>
      <c r="E63" s="469"/>
      <c r="F63" s="469"/>
      <c r="G63" s="469"/>
      <c r="H63" s="469"/>
      <c r="I63" s="469"/>
      <c r="J63" s="469"/>
      <c r="K63" s="469"/>
      <c r="L63" s="62"/>
    </row>
    <row r="64" spans="1:12">
      <c r="A64" s="680" t="s">
        <v>640</v>
      </c>
      <c r="B64" s="146" t="s">
        <v>639</v>
      </c>
      <c r="C64" s="461" t="s">
        <v>605</v>
      </c>
      <c r="D64" s="465">
        <f>SUM(E64:G64)</f>
        <v>0</v>
      </c>
      <c r="E64" s="469"/>
      <c r="F64" s="469"/>
      <c r="G64" s="469"/>
      <c r="H64" s="469"/>
      <c r="I64" s="469"/>
      <c r="J64" s="469"/>
      <c r="K64" s="469"/>
      <c r="L64" s="62"/>
    </row>
    <row r="65" spans="1:12">
      <c r="A65" s="680" t="s">
        <v>642</v>
      </c>
      <c r="B65" s="471" t="s">
        <v>641</v>
      </c>
      <c r="C65" s="680" t="s">
        <v>627</v>
      </c>
      <c r="D65" s="465">
        <f>SUM(E65:G65)</f>
        <v>0</v>
      </c>
      <c r="E65" s="469"/>
      <c r="F65" s="469"/>
      <c r="G65" s="469"/>
      <c r="H65" s="469"/>
      <c r="I65" s="469"/>
      <c r="J65" s="469"/>
      <c r="K65" s="469"/>
      <c r="L65" s="62"/>
    </row>
    <row r="66" spans="1:12">
      <c r="A66" s="680" t="s">
        <v>644</v>
      </c>
      <c r="B66" s="471" t="s">
        <v>643</v>
      </c>
      <c r="C66" s="680" t="s">
        <v>627</v>
      </c>
      <c r="D66" s="465">
        <f>SUM(E66:G66)</f>
        <v>0</v>
      </c>
      <c r="E66" s="469"/>
      <c r="F66" s="469"/>
      <c r="G66" s="469"/>
      <c r="H66" s="469"/>
      <c r="I66" s="469"/>
      <c r="J66" s="469"/>
      <c r="K66" s="469"/>
      <c r="L66" s="62"/>
    </row>
    <row r="67" spans="1:12" ht="14.25">
      <c r="A67" s="680" t="s">
        <v>686</v>
      </c>
      <c r="B67" s="462" t="s">
        <v>645</v>
      </c>
      <c r="C67" s="680" t="s">
        <v>646</v>
      </c>
      <c r="D67" s="114">
        <f>IF(D62=0,0,SUMPRODUCT(E67:K67,E62:K62)/D62)</f>
        <v>1070</v>
      </c>
      <c r="E67" s="9">
        <v>1070</v>
      </c>
      <c r="F67" s="9"/>
      <c r="G67" s="9"/>
      <c r="H67" s="9"/>
      <c r="I67" s="9"/>
      <c r="J67" s="9"/>
      <c r="K67" s="9"/>
    </row>
    <row r="68" spans="1:12">
      <c r="A68" s="680">
        <v>5</v>
      </c>
      <c r="B68" s="146" t="s">
        <v>539</v>
      </c>
      <c r="C68" s="680" t="s">
        <v>208</v>
      </c>
      <c r="D68" s="149">
        <f>IF(D59=0,0,IF(D58=0,0,SUM(D62:D64)/(D58/D59)))</f>
        <v>0</v>
      </c>
      <c r="E68" s="149">
        <f t="shared" ref="E68:K68" si="4">IF(E59=0,0,IF(E58=0,0,SUM(E62:E64)/(E58/E59)))</f>
        <v>0</v>
      </c>
      <c r="F68" s="149">
        <f t="shared" si="4"/>
        <v>0</v>
      </c>
      <c r="G68" s="149">
        <f t="shared" si="4"/>
        <v>0</v>
      </c>
      <c r="H68" s="149">
        <f t="shared" si="4"/>
        <v>0</v>
      </c>
      <c r="I68" s="149">
        <f t="shared" si="4"/>
        <v>0</v>
      </c>
      <c r="J68" s="149">
        <f t="shared" si="4"/>
        <v>0</v>
      </c>
      <c r="K68" s="149">
        <f t="shared" si="4"/>
        <v>0</v>
      </c>
      <c r="L68" s="62"/>
    </row>
    <row r="69" spans="1:12"/>
    <row r="70" spans="1:12">
      <c r="B70" s="479"/>
      <c r="K70" s="480"/>
    </row>
    <row r="71" spans="1:12">
      <c r="B71" s="479"/>
      <c r="F71" s="481"/>
      <c r="G71" s="482"/>
      <c r="H71" s="483"/>
      <c r="I71" s="484"/>
      <c r="J71" s="485"/>
      <c r="K71" s="484"/>
    </row>
    <row r="72" spans="1:12" customFormat="1">
      <c r="B72" s="479"/>
      <c r="K72" s="491"/>
    </row>
    <row r="73" spans="1:12">
      <c r="B73" s="479"/>
      <c r="F73" s="481"/>
      <c r="G73" s="352"/>
      <c r="J73" s="485"/>
      <c r="K73" s="480"/>
    </row>
    <row r="74" spans="1:12">
      <c r="B74" s="486"/>
      <c r="K74" s="489"/>
    </row>
    <row r="75" spans="1:12">
      <c r="B75" s="486"/>
      <c r="K75" s="489"/>
    </row>
    <row r="76" spans="1:12">
      <c r="B76" s="486"/>
      <c r="K76" s="489"/>
    </row>
    <row r="77" spans="1:12"/>
    <row r="78" spans="1:12">
      <c r="B78" s="128" t="str">
        <f>'[1]Разходи-Произв.'!$A$79</f>
        <v>Гл. счетоводител:</v>
      </c>
      <c r="G78" s="487" t="str">
        <f>'[1]Разходи-Произв.'!$E$79</f>
        <v>Изп. директор:</v>
      </c>
      <c r="I78" s="674"/>
      <c r="J78" s="674"/>
    </row>
    <row r="79" spans="1:12">
      <c r="C79" s="488" t="str">
        <f>Разходи!$B$93</f>
        <v>/ Росен Иванов /</v>
      </c>
      <c r="G79" s="674"/>
      <c r="H79" s="674" t="str">
        <f>Разходи!$F$93</f>
        <v>/ Анатолий Ботов/</v>
      </c>
      <c r="I79" s="674"/>
      <c r="J79" s="674"/>
    </row>
    <row r="80" spans="1:12"/>
  </sheetData>
  <mergeCells count="11">
    <mergeCell ref="D51:K51"/>
    <mergeCell ref="I14:K14"/>
    <mergeCell ref="D14:H14"/>
    <mergeCell ref="I28:I33"/>
    <mergeCell ref="J28:J33"/>
    <mergeCell ref="K28:K33"/>
    <mergeCell ref="D4:K4"/>
    <mergeCell ref="B12:K12"/>
    <mergeCell ref="B1:I1"/>
    <mergeCell ref="B2:I2"/>
    <mergeCell ref="B49:K49"/>
  </mergeCells>
  <phoneticPr fontId="28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showZeros="0" workbookViewId="0">
      <selection activeCell="A6" sqref="A6:C6"/>
    </sheetView>
  </sheetViews>
  <sheetFormatPr defaultColWidth="0" defaultRowHeight="12.75" customHeight="1" zeroHeight="1"/>
  <cols>
    <col min="1" max="1" width="3.5703125" style="100" customWidth="1"/>
    <col min="2" max="2" width="28.5703125" style="100" customWidth="1"/>
    <col min="3" max="3" width="7.85546875" style="100" customWidth="1"/>
    <col min="4" max="10" width="9.5703125" style="100" customWidth="1"/>
    <col min="11" max="12" width="8.5703125" style="100" customWidth="1"/>
    <col min="13" max="13" width="8.85546875" style="100" customWidth="1"/>
    <col min="14" max="16384" width="8.85546875" style="100" hidden="1"/>
  </cols>
  <sheetData>
    <row r="1" spans="1:12" ht="12.75" customHeight="1">
      <c r="A1" s="682">
        <v>2</v>
      </c>
      <c r="B1" s="832" t="s">
        <v>687</v>
      </c>
      <c r="C1" s="832"/>
      <c r="D1" s="832"/>
      <c r="E1" s="832"/>
      <c r="F1" s="832"/>
      <c r="G1" s="832"/>
      <c r="H1" s="832"/>
      <c r="I1" s="832"/>
      <c r="J1" s="832"/>
      <c r="K1" s="101"/>
      <c r="L1" s="128" t="s">
        <v>688</v>
      </c>
    </row>
    <row r="2" spans="1:12" ht="12.75" customHeight="1">
      <c r="B2" s="832" t="str">
        <f>'ТИП-ПРОИЗ'!B3</f>
        <v>"ТЕЦ Горна Оряховица" ЕАД</v>
      </c>
      <c r="C2" s="832"/>
      <c r="D2" s="832"/>
      <c r="E2" s="832"/>
      <c r="F2" s="832"/>
      <c r="G2" s="832"/>
      <c r="H2" s="832"/>
      <c r="I2" s="832"/>
      <c r="J2" s="832"/>
      <c r="K2" s="101"/>
      <c r="L2" s="101"/>
    </row>
    <row r="3" spans="1:12" ht="12.75" customHeight="1">
      <c r="B3" s="671"/>
      <c r="C3" s="671"/>
      <c r="D3" s="671"/>
      <c r="E3" s="671"/>
      <c r="F3" s="671"/>
      <c r="G3" s="671"/>
      <c r="H3" s="671"/>
      <c r="I3" s="671"/>
      <c r="J3" s="671"/>
      <c r="K3" s="671"/>
      <c r="L3" s="671"/>
    </row>
    <row r="4" spans="1:12" ht="12.75" customHeight="1">
      <c r="B4" s="749" t="s">
        <v>689</v>
      </c>
      <c r="C4" s="749"/>
      <c r="D4" s="749"/>
      <c r="E4" s="749"/>
      <c r="F4" s="749"/>
      <c r="G4" s="749"/>
      <c r="H4" s="749"/>
      <c r="I4" s="749"/>
      <c r="J4" s="749"/>
      <c r="K4" s="101"/>
      <c r="L4" s="101"/>
    </row>
    <row r="5" spans="1:12"/>
    <row r="6" spans="1:12">
      <c r="A6" s="833">
        <f>'ТИП-ПРОИЗ'!$B$5</f>
        <v>7.2022000000000004</v>
      </c>
      <c r="B6" s="833"/>
      <c r="C6" s="833"/>
      <c r="D6" s="831" t="s">
        <v>690</v>
      </c>
      <c r="E6" s="831"/>
      <c r="F6" s="831"/>
      <c r="G6" s="831"/>
      <c r="H6" s="831"/>
      <c r="I6" s="831"/>
      <c r="J6" s="831"/>
      <c r="K6" s="831"/>
      <c r="L6" s="831"/>
    </row>
    <row r="7" spans="1:12">
      <c r="A7" s="135">
        <v>1</v>
      </c>
      <c r="B7" s="136" t="s">
        <v>691</v>
      </c>
      <c r="C7" s="660" t="s">
        <v>593</v>
      </c>
      <c r="D7" s="682" t="s">
        <v>27</v>
      </c>
      <c r="E7" s="135" t="s">
        <v>692</v>
      </c>
      <c r="F7" s="135" t="s">
        <v>693</v>
      </c>
      <c r="G7" s="135" t="s">
        <v>694</v>
      </c>
      <c r="H7" s="135" t="s">
        <v>695</v>
      </c>
      <c r="I7" s="135" t="s">
        <v>696</v>
      </c>
      <c r="J7" s="135" t="s">
        <v>697</v>
      </c>
      <c r="K7" s="135" t="s">
        <v>698</v>
      </c>
      <c r="L7" s="135" t="s">
        <v>699</v>
      </c>
    </row>
    <row r="8" spans="1:12">
      <c r="A8" s="137" t="s">
        <v>42</v>
      </c>
      <c r="B8" s="138">
        <f>'ТИП-ПРОИЗ'!E6</f>
        <v>2021.0000000000061</v>
      </c>
      <c r="C8" s="137" t="s">
        <v>700</v>
      </c>
      <c r="D8" s="139">
        <f>SUM(E8:K8)</f>
        <v>0</v>
      </c>
      <c r="E8" s="50"/>
      <c r="F8" s="50"/>
      <c r="G8" s="50"/>
      <c r="H8" s="50"/>
      <c r="I8" s="50"/>
      <c r="J8" s="50"/>
      <c r="K8" s="50"/>
      <c r="L8" s="50"/>
    </row>
    <row r="9" spans="1:12">
      <c r="A9" s="137" t="s">
        <v>44</v>
      </c>
      <c r="B9" s="140" t="s">
        <v>680</v>
      </c>
      <c r="C9" s="137" t="s">
        <v>605</v>
      </c>
      <c r="D9" s="139">
        <f>SUM(E9:K9)</f>
        <v>0</v>
      </c>
      <c r="E9" s="40"/>
      <c r="F9" s="40"/>
      <c r="G9" s="40"/>
      <c r="H9" s="40"/>
      <c r="I9" s="40"/>
      <c r="J9" s="40"/>
      <c r="K9" s="40"/>
      <c r="L9" s="40"/>
    </row>
    <row r="10" spans="1:12">
      <c r="A10" s="137" t="s">
        <v>47</v>
      </c>
      <c r="B10" s="141" t="s">
        <v>681</v>
      </c>
      <c r="C10" s="137" t="s">
        <v>208</v>
      </c>
      <c r="D10" s="142">
        <f>IF(D9=0,0,SUMPRODUCT(E9:K9,E10:K10)/D9)</f>
        <v>0</v>
      </c>
      <c r="E10" s="41"/>
      <c r="F10" s="41"/>
      <c r="G10" s="41"/>
      <c r="H10" s="41"/>
      <c r="I10" s="41"/>
      <c r="J10" s="41"/>
      <c r="K10" s="41"/>
      <c r="L10" s="41"/>
    </row>
    <row r="11" spans="1:12"/>
    <row r="12" spans="1:12">
      <c r="A12" s="830">
        <f>'ТИП-ПРОИЗ'!E6</f>
        <v>2021.0000000000061</v>
      </c>
      <c r="B12" s="830"/>
      <c r="C12" s="830"/>
      <c r="D12" s="831" t="s">
        <v>701</v>
      </c>
      <c r="E12" s="831"/>
      <c r="F12" s="831"/>
      <c r="G12" s="831"/>
      <c r="H12" s="831"/>
      <c r="I12" s="831"/>
      <c r="J12" s="831"/>
      <c r="K12" s="831"/>
      <c r="L12" s="831"/>
    </row>
    <row r="13" spans="1:12">
      <c r="A13" s="135">
        <v>1</v>
      </c>
      <c r="B13" s="136" t="s">
        <v>691</v>
      </c>
      <c r="C13" s="660" t="s">
        <v>593</v>
      </c>
      <c r="D13" s="682" t="s">
        <v>27</v>
      </c>
      <c r="E13" s="135" t="s">
        <v>692</v>
      </c>
      <c r="F13" s="135" t="s">
        <v>693</v>
      </c>
      <c r="G13" s="135" t="s">
        <v>694</v>
      </c>
      <c r="H13" s="135" t="s">
        <v>695</v>
      </c>
      <c r="I13" s="135" t="s">
        <v>696</v>
      </c>
      <c r="J13" s="135" t="s">
        <v>697</v>
      </c>
      <c r="K13" s="135" t="s">
        <v>698</v>
      </c>
      <c r="L13" s="135" t="s">
        <v>699</v>
      </c>
    </row>
    <row r="14" spans="1:12">
      <c r="A14" s="137" t="s">
        <v>42</v>
      </c>
      <c r="B14" s="140" t="s">
        <v>702</v>
      </c>
      <c r="C14" s="137" t="s">
        <v>703</v>
      </c>
      <c r="D14" s="497"/>
      <c r="E14" s="39"/>
      <c r="F14" s="39"/>
      <c r="G14" s="39"/>
      <c r="H14" s="39"/>
      <c r="I14" s="39"/>
      <c r="J14" s="39"/>
      <c r="K14" s="39"/>
      <c r="L14" s="39"/>
    </row>
    <row r="15" spans="1:12">
      <c r="A15" s="137" t="s">
        <v>44</v>
      </c>
      <c r="B15" s="140" t="s">
        <v>704</v>
      </c>
      <c r="C15" s="137" t="s">
        <v>238</v>
      </c>
      <c r="D15" s="139">
        <f>SUM(E15:K15)</f>
        <v>0</v>
      </c>
      <c r="E15" s="40"/>
      <c r="F15" s="40"/>
      <c r="G15" s="40"/>
      <c r="H15" s="40"/>
      <c r="I15" s="40"/>
      <c r="J15" s="40"/>
      <c r="K15" s="40"/>
      <c r="L15" s="40"/>
    </row>
    <row r="16" spans="1:12">
      <c r="A16" s="137" t="s">
        <v>47</v>
      </c>
      <c r="B16" s="141" t="s">
        <v>541</v>
      </c>
      <c r="C16" s="137" t="s">
        <v>208</v>
      </c>
      <c r="D16" s="142">
        <f>IF(D15=0,0,SUMPRODUCT(E15:K15,E16:K16)/D15)</f>
        <v>0</v>
      </c>
      <c r="E16" s="41"/>
      <c r="F16" s="41"/>
      <c r="G16" s="41"/>
      <c r="H16" s="41"/>
      <c r="I16" s="41"/>
      <c r="J16" s="41"/>
      <c r="K16" s="41"/>
      <c r="L16" s="41"/>
    </row>
    <row r="17" spans="1:12"/>
    <row r="18" spans="1:12" ht="12.75" customHeight="1">
      <c r="B18" s="832" t="s">
        <v>705</v>
      </c>
      <c r="C18" s="832"/>
      <c r="D18" s="832"/>
      <c r="E18" s="832"/>
      <c r="F18" s="832"/>
      <c r="G18" s="832"/>
      <c r="H18" s="832"/>
      <c r="I18" s="832"/>
      <c r="J18" s="832"/>
      <c r="K18" s="499"/>
      <c r="L18" s="499"/>
    </row>
    <row r="19" spans="1:12"/>
    <row r="20" spans="1:12">
      <c r="A20" s="833">
        <f>'ТИП-ПРОИЗ'!$B$5</f>
        <v>7.2022000000000004</v>
      </c>
      <c r="B20" s="833"/>
      <c r="C20" s="833"/>
      <c r="D20" s="831" t="s">
        <v>706</v>
      </c>
      <c r="E20" s="831"/>
      <c r="F20" s="831"/>
      <c r="G20" s="831"/>
      <c r="H20" s="831"/>
      <c r="I20" s="831"/>
      <c r="J20" s="831"/>
      <c r="K20" s="831"/>
      <c r="L20" s="831"/>
    </row>
    <row r="21" spans="1:12">
      <c r="A21" s="135">
        <v>2</v>
      </c>
      <c r="B21" s="136" t="s">
        <v>707</v>
      </c>
      <c r="C21" s="660" t="s">
        <v>593</v>
      </c>
      <c r="D21" s="682" t="s">
        <v>27</v>
      </c>
      <c r="E21" s="135" t="s">
        <v>708</v>
      </c>
      <c r="F21" s="135" t="s">
        <v>709</v>
      </c>
      <c r="G21" s="135" t="s">
        <v>710</v>
      </c>
      <c r="H21" s="135" t="s">
        <v>711</v>
      </c>
      <c r="I21" s="135" t="s">
        <v>712</v>
      </c>
      <c r="J21" s="135" t="s">
        <v>713</v>
      </c>
      <c r="K21" s="135" t="s">
        <v>714</v>
      </c>
      <c r="L21" s="135" t="s">
        <v>715</v>
      </c>
    </row>
    <row r="22" spans="1:12">
      <c r="A22" s="137" t="s">
        <v>50</v>
      </c>
      <c r="B22" s="138">
        <f>B8</f>
        <v>2021.0000000000061</v>
      </c>
      <c r="C22" s="137" t="s">
        <v>700</v>
      </c>
      <c r="D22" s="139">
        <f>SUM(E22:K22)</f>
        <v>0</v>
      </c>
      <c r="E22" s="50"/>
      <c r="F22" s="50"/>
      <c r="G22" s="50"/>
      <c r="H22" s="50"/>
      <c r="I22" s="50"/>
      <c r="J22" s="50"/>
      <c r="K22" s="50"/>
      <c r="L22" s="50"/>
    </row>
    <row r="23" spans="1:12">
      <c r="A23" s="137" t="s">
        <v>52</v>
      </c>
      <c r="B23" s="143" t="s">
        <v>716</v>
      </c>
      <c r="C23" s="137" t="s">
        <v>627</v>
      </c>
      <c r="D23" s="139">
        <f>SUM(E23:K23)</f>
        <v>0</v>
      </c>
      <c r="E23" s="50"/>
      <c r="F23" s="50"/>
      <c r="G23" s="50"/>
      <c r="H23" s="50"/>
      <c r="I23" s="50"/>
      <c r="J23" s="50"/>
      <c r="K23" s="50"/>
      <c r="L23" s="50"/>
    </row>
    <row r="24" spans="1:12">
      <c r="A24" s="137" t="s">
        <v>54</v>
      </c>
      <c r="B24" s="143" t="s">
        <v>717</v>
      </c>
      <c r="C24" s="137" t="s">
        <v>718</v>
      </c>
      <c r="D24" s="139"/>
      <c r="E24" s="50"/>
      <c r="F24" s="50"/>
      <c r="G24" s="50"/>
      <c r="H24" s="50"/>
      <c r="I24" s="50"/>
      <c r="J24" s="50"/>
      <c r="K24" s="50"/>
      <c r="L24" s="50"/>
    </row>
    <row r="25" spans="1:12">
      <c r="A25" s="137" t="s">
        <v>719</v>
      </c>
      <c r="B25" s="140" t="s">
        <v>680</v>
      </c>
      <c r="C25" s="137" t="s">
        <v>605</v>
      </c>
      <c r="D25" s="139">
        <f>SUM(E25:K25)</f>
        <v>0</v>
      </c>
      <c r="E25" s="40"/>
      <c r="F25" s="40"/>
      <c r="G25" s="40"/>
      <c r="H25" s="40"/>
      <c r="I25" s="40"/>
      <c r="J25" s="40"/>
      <c r="K25" s="40"/>
      <c r="L25" s="40"/>
    </row>
    <row r="26" spans="1:12">
      <c r="A26" s="137" t="s">
        <v>720</v>
      </c>
      <c r="B26" s="141" t="s">
        <v>681</v>
      </c>
      <c r="C26" s="137" t="s">
        <v>208</v>
      </c>
      <c r="D26" s="142">
        <f>IF(D25=0,0,SUMPRODUCT(E25:K25,E26:K26)/D25)</f>
        <v>0</v>
      </c>
      <c r="E26" s="41"/>
      <c r="F26" s="41"/>
      <c r="G26" s="41"/>
      <c r="H26" s="41"/>
      <c r="I26" s="41"/>
      <c r="J26" s="41"/>
      <c r="K26" s="41"/>
      <c r="L26" s="41"/>
    </row>
    <row r="27" spans="1:12"/>
    <row r="28" spans="1:12">
      <c r="A28" s="830">
        <f>A12</f>
        <v>2021.0000000000061</v>
      </c>
      <c r="B28" s="830"/>
      <c r="C28" s="830"/>
      <c r="D28" s="831" t="s">
        <v>721</v>
      </c>
      <c r="E28" s="831"/>
      <c r="F28" s="831"/>
      <c r="G28" s="831"/>
      <c r="H28" s="831"/>
      <c r="I28" s="831"/>
      <c r="J28" s="831"/>
      <c r="K28" s="831"/>
      <c r="L28" s="831"/>
    </row>
    <row r="29" spans="1:12">
      <c r="A29" s="135">
        <v>2</v>
      </c>
      <c r="B29" s="136" t="s">
        <v>707</v>
      </c>
      <c r="C29" s="660" t="s">
        <v>593</v>
      </c>
      <c r="D29" s="682" t="s">
        <v>27</v>
      </c>
      <c r="E29" s="135" t="s">
        <v>708</v>
      </c>
      <c r="F29" s="135" t="s">
        <v>709</v>
      </c>
      <c r="G29" s="135" t="s">
        <v>710</v>
      </c>
      <c r="H29" s="135" t="s">
        <v>711</v>
      </c>
      <c r="I29" s="135" t="s">
        <v>712</v>
      </c>
      <c r="J29" s="135" t="s">
        <v>713</v>
      </c>
      <c r="K29" s="135" t="s">
        <v>714</v>
      </c>
      <c r="L29" s="135" t="s">
        <v>715</v>
      </c>
    </row>
    <row r="30" spans="1:12">
      <c r="A30" s="137" t="s">
        <v>50</v>
      </c>
      <c r="B30" s="140" t="s">
        <v>702</v>
      </c>
      <c r="C30" s="137" t="s">
        <v>703</v>
      </c>
      <c r="D30" s="497"/>
      <c r="E30" s="39"/>
      <c r="F30" s="39"/>
      <c r="G30" s="39"/>
      <c r="H30" s="39"/>
      <c r="I30" s="39"/>
      <c r="J30" s="39"/>
      <c r="K30" s="39"/>
      <c r="L30" s="39"/>
    </row>
    <row r="31" spans="1:12">
      <c r="A31" s="137" t="s">
        <v>52</v>
      </c>
      <c r="B31" s="143" t="s">
        <v>722</v>
      </c>
      <c r="C31" s="137" t="s">
        <v>282</v>
      </c>
      <c r="D31" s="139">
        <f>SUM(E31:K31)</f>
        <v>0</v>
      </c>
      <c r="E31" s="39"/>
      <c r="F31" s="39"/>
      <c r="G31" s="39"/>
      <c r="H31" s="39"/>
      <c r="I31" s="39"/>
      <c r="J31" s="39"/>
      <c r="K31" s="39"/>
      <c r="L31" s="39"/>
    </row>
    <row r="32" spans="1:12">
      <c r="A32" s="137" t="s">
        <v>54</v>
      </c>
      <c r="B32" s="143" t="s">
        <v>723</v>
      </c>
      <c r="C32" s="137" t="s">
        <v>627</v>
      </c>
      <c r="D32" s="139">
        <f>IF(D30=0,0,D31/D30)</f>
        <v>0</v>
      </c>
      <c r="E32" s="139">
        <f t="shared" ref="E32:L32" si="0">IF(E30=0,0,E31/E30)</f>
        <v>0</v>
      </c>
      <c r="F32" s="139">
        <f t="shared" si="0"/>
        <v>0</v>
      </c>
      <c r="G32" s="139">
        <f t="shared" si="0"/>
        <v>0</v>
      </c>
      <c r="H32" s="139">
        <f t="shared" si="0"/>
        <v>0</v>
      </c>
      <c r="I32" s="139">
        <f t="shared" si="0"/>
        <v>0</v>
      </c>
      <c r="J32" s="139">
        <f t="shared" si="0"/>
        <v>0</v>
      </c>
      <c r="K32" s="139">
        <f t="shared" si="0"/>
        <v>0</v>
      </c>
      <c r="L32" s="139">
        <f t="shared" si="0"/>
        <v>0</v>
      </c>
    </row>
    <row r="33" spans="1:12">
      <c r="A33" s="137" t="s">
        <v>719</v>
      </c>
      <c r="B33" s="143" t="s">
        <v>724</v>
      </c>
      <c r="C33" s="137" t="s">
        <v>718</v>
      </c>
      <c r="D33" s="139"/>
      <c r="E33" s="50"/>
      <c r="F33" s="50"/>
      <c r="G33" s="50"/>
      <c r="H33" s="50"/>
      <c r="I33" s="50"/>
      <c r="J33" s="50"/>
      <c r="K33" s="50"/>
      <c r="L33" s="50"/>
    </row>
    <row r="34" spans="1:12">
      <c r="A34" s="137" t="s">
        <v>720</v>
      </c>
      <c r="B34" s="140" t="s">
        <v>704</v>
      </c>
      <c r="C34" s="137" t="s">
        <v>238</v>
      </c>
      <c r="D34" s="139">
        <f>SUM(E34:K34)</f>
        <v>0</v>
      </c>
      <c r="E34" s="40"/>
      <c r="F34" s="40"/>
      <c r="G34" s="40"/>
      <c r="H34" s="40"/>
      <c r="I34" s="40"/>
      <c r="J34" s="40"/>
      <c r="K34" s="40"/>
      <c r="L34" s="40"/>
    </row>
    <row r="35" spans="1:12">
      <c r="A35" s="137" t="s">
        <v>725</v>
      </c>
      <c r="B35" s="141" t="s">
        <v>541</v>
      </c>
      <c r="C35" s="137" t="s">
        <v>208</v>
      </c>
      <c r="D35" s="142">
        <f>IF(D34=0,0,SUMPRODUCT(E34:K34,E35:K35)/D34)</f>
        <v>0</v>
      </c>
      <c r="E35" s="41"/>
      <c r="F35" s="41"/>
      <c r="G35" s="41"/>
      <c r="H35" s="41"/>
      <c r="I35" s="41"/>
      <c r="J35" s="41"/>
      <c r="K35" s="41"/>
      <c r="L35" s="41"/>
    </row>
    <row r="36" spans="1:12"/>
    <row r="37" spans="1:12" ht="15.75">
      <c r="B37" s="141" t="s">
        <v>726</v>
      </c>
      <c r="C37" s="137" t="s">
        <v>208</v>
      </c>
      <c r="D37" s="142">
        <f>IF(SUM(D15,D34)=0,0,SUM(D15*D16,D34*D35)/SUM(D15,D34))</f>
        <v>0</v>
      </c>
      <c r="E37" s="498">
        <f>SUM(D37,-F37)</f>
        <v>0</v>
      </c>
      <c r="F37" s="490">
        <f>'ТИП-ПРОИЗ'!E57</f>
        <v>0</v>
      </c>
    </row>
    <row r="38" spans="1:12"/>
    <row r="39" spans="1:12"/>
    <row r="40" spans="1:12">
      <c r="B40" s="128" t="str">
        <f>'[1]Разходи-Произв.'!$A$79</f>
        <v>Гл. счетоводител:</v>
      </c>
      <c r="G40" s="129" t="str">
        <f>'[1]Разходи-Произв.'!$E$79</f>
        <v>Изп. директор:</v>
      </c>
      <c r="I40" s="130"/>
      <c r="J40" s="130"/>
    </row>
    <row r="41" spans="1:12">
      <c r="A41" s="127"/>
      <c r="C41" s="667" t="str">
        <f>Разходи!$B$93</f>
        <v>/ Росен Иванов /</v>
      </c>
      <c r="G41" s="130"/>
      <c r="H41" s="131" t="str">
        <f>Разходи!$F$93</f>
        <v>/ Анатолий Ботов/</v>
      </c>
      <c r="I41" s="131"/>
      <c r="J41" s="131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11</vt:i4>
      </vt:variant>
      <vt:variant>
        <vt:lpstr>Наименувани диапазони</vt:lpstr>
      </vt:variant>
      <vt:variant>
        <vt:i4>15</vt:i4>
      </vt:variant>
    </vt:vector>
  </HeadingPairs>
  <TitlesOfParts>
    <vt:vector size="26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 2022-2023</vt:lpstr>
      <vt:lpstr>Спецификация 2021</vt:lpstr>
      <vt:lpstr>а65536</vt:lpstr>
      <vt:lpstr>ВК§ППК!Област_печат</vt:lpstr>
      <vt:lpstr>ИКП!Област_печат</vt:lpstr>
      <vt:lpstr>Коефициенти!Област_печат</vt:lpstr>
      <vt:lpstr>НВ!Област_печат</vt:lpstr>
      <vt:lpstr>Разходи!Област_печат</vt:lpstr>
      <vt:lpstr>РБА!Област_печат</vt:lpstr>
      <vt:lpstr>'Спецификация 2021'!Област_печат</vt:lpstr>
      <vt:lpstr>'Спецификация 2022-2023'!Област_печат</vt:lpstr>
      <vt:lpstr>'ТИП-ПРЕНОС'!Област_печат</vt:lpstr>
      <vt:lpstr>'ТИП-ПРОИЗ'!Област_печат</vt:lpstr>
      <vt:lpstr>'Спецификация 2021'!Печат_заглавия</vt:lpstr>
      <vt:lpstr>'Спецификация 2022-2023'!Печат_заглавия</vt:lpstr>
      <vt:lpstr>'ТИП-ПРОИЗ'!Печат_заглавия</vt:lpstr>
      <vt:lpstr>ь65536</vt:lpstr>
    </vt:vector>
  </TitlesOfParts>
  <Company>DKER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Невянка Добрева</cp:lastModifiedBy>
  <cp:revision/>
  <cp:lastPrinted>2022-03-28T10:50:26Z</cp:lastPrinted>
  <dcterms:created xsi:type="dcterms:W3CDTF">2002-07-02T13:08:08Z</dcterms:created>
  <dcterms:modified xsi:type="dcterms:W3CDTF">2022-03-29T11:45:42Z</dcterms:modified>
</cp:coreProperties>
</file>